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R:\VENDAS\SECRETARIA DE VENDAS\LIVING\Empreendimentos\Vivaz Del Castilho\Simulador\12.2019\"/>
    </mc:Choice>
  </mc:AlternateContent>
  <bookViews>
    <workbookView xWindow="0" yWindow="0" windowWidth="19200" windowHeight="10890" tabRatio="811"/>
  </bookViews>
  <sheets>
    <sheet name="Simulador CEF" sheetId="22" r:id="rId1"/>
    <sheet name="Apoio" sheetId="23" state="hidden" r:id="rId2"/>
    <sheet name="Premissas e Calculos" sheetId="1" state="hidden" r:id="rId3"/>
    <sheet name="Proposta 1 Via" sheetId="19" state="hidden" r:id="rId4"/>
    <sheet name="fluxos" sheetId="25" state="hidden" r:id="rId5"/>
    <sheet name="DADOS DOS EMPREENDIMENTOS" sheetId="24" state="hidden" r:id="rId6"/>
  </sheets>
  <definedNames>
    <definedName name="_xlnm._FilterDatabase" localSheetId="1" hidden="1">Apoio!$A$8:$L$8</definedName>
    <definedName name="_xlnm._FilterDatabase" localSheetId="3" hidden="1">'Proposta 1 Via'!$A$1:$A$88</definedName>
    <definedName name="_xlnm.Print_Area" localSheetId="1">Apoio!$C$349:$E$393</definedName>
    <definedName name="_xlnm.Print_Area" localSheetId="5">'DADOS DOS EMPREENDIMENTOS'!$P$2:$R$16</definedName>
    <definedName name="_xlnm.Print_Area" localSheetId="2">'Premissas e Calculos'!$B$1:$D$8</definedName>
    <definedName name="_xlnm.Print_Area" localSheetId="3">'Proposta 1 Via'!$E$1:$M$87</definedName>
    <definedName name="_xlnm.Print_Area" localSheetId="0">'Simulador CEF'!$B$2:$V$142</definedName>
    <definedName name="comissao">#REF!</definedName>
    <definedName name="entrada240">#REF!</definedName>
    <definedName name="entrada300">#REF!</definedName>
    <definedName name="INCC">'Premissas e Calculos'!$G$15</definedName>
    <definedName name="INICIO_OBRA" localSheetId="5">'DADOS DOS EMPREENDIMENTOS'!#REF!</definedName>
    <definedName name="INICIO_OBRA">#REF!</definedName>
    <definedName name="Mês" localSheetId="1">#REF!</definedName>
    <definedName name="Mês" localSheetId="0">#REF!</definedName>
    <definedName name="Mês">#REF!</definedName>
    <definedName name="OBRA_VGV">'Premissas e Calculos'!$G$16</definedName>
    <definedName name="Prazo_Obra" localSheetId="5">'DADOS DOS EMPREENDIMENTOS'!#REF!</definedName>
    <definedName name="Prazo_Obra">#REF!</definedName>
    <definedName name="repasse240" localSheetId="0">#REF!</definedName>
    <definedName name="repasse240">#REF!</definedName>
    <definedName name="repasse300" localSheetId="0">#REF!</definedName>
    <definedName name="repasse300">#REF!</definedName>
    <definedName name="SM">'Premissas e Calculos'!$G$13</definedName>
    <definedName name="SUB">'Premissas e Calculos'!$G$4</definedName>
    <definedName name="SUBMin">'Premissas e Calculos'!$G$5</definedName>
    <definedName name="Terreno_VGV" localSheetId="5">'DADOS DOS EMPREENDIMENTOS'!$V$9</definedName>
    <definedName name="Terreno_VGV">#REF!</definedName>
    <definedName name="VMI">'Premissas e Calculos'!$G$3</definedName>
    <definedName name="VP" localSheetId="5">'DADOS DOS EMPREENDIMENTOS'!$V$10</definedName>
    <definedName name="VP">#REF!</definedName>
  </definedNames>
  <calcPr calcId="162913"/>
</workbook>
</file>

<file path=xl/calcChain.xml><?xml version="1.0" encoding="utf-8"?>
<calcChain xmlns="http://schemas.openxmlformats.org/spreadsheetml/2006/main">
  <c r="J1" i="23" l="1"/>
  <c r="F74" i="22"/>
  <c r="J2" i="23" l="1"/>
  <c r="H252" i="23" l="1"/>
  <c r="H262" i="23"/>
  <c r="H264" i="23"/>
  <c r="H270" i="23"/>
  <c r="H271" i="23"/>
  <c r="H272" i="23"/>
  <c r="H273" i="23"/>
  <c r="H274" i="23"/>
  <c r="H280" i="23"/>
  <c r="H281" i="23"/>
  <c r="H282" i="23"/>
  <c r="H283" i="23"/>
  <c r="H424" i="23"/>
  <c r="H425" i="23"/>
  <c r="H436" i="23"/>
  <c r="H437" i="23"/>
  <c r="H438" i="23"/>
  <c r="H439" i="23"/>
  <c r="H446" i="23"/>
  <c r="H447" i="23"/>
  <c r="H448" i="23"/>
  <c r="H449" i="23"/>
  <c r="H450" i="23"/>
  <c r="H451" i="23"/>
  <c r="H458" i="23"/>
  <c r="H459" i="23"/>
  <c r="H460" i="23"/>
  <c r="H461" i="23"/>
  <c r="H462" i="23"/>
  <c r="H463" i="23"/>
  <c r="H470" i="23"/>
  <c r="H471" i="23"/>
  <c r="H472" i="23"/>
  <c r="H473" i="23"/>
  <c r="D13" i="23"/>
  <c r="D12" i="23"/>
  <c r="H12" i="23" l="1"/>
  <c r="H13" i="23"/>
  <c r="D9" i="23"/>
  <c r="H9" i="23" l="1"/>
  <c r="J13" i="1"/>
  <c r="D15" i="23" l="1"/>
  <c r="D19" i="23"/>
  <c r="D23" i="23"/>
  <c r="D27" i="23"/>
  <c r="D31" i="23"/>
  <c r="D35" i="23"/>
  <c r="D39" i="23"/>
  <c r="D43" i="23"/>
  <c r="D47" i="23"/>
  <c r="D51" i="23"/>
  <c r="D55" i="23"/>
  <c r="D59" i="23"/>
  <c r="D63" i="23"/>
  <c r="D85" i="23"/>
  <c r="D93" i="23"/>
  <c r="D101" i="23"/>
  <c r="D109" i="23"/>
  <c r="D117" i="23"/>
  <c r="D125" i="23"/>
  <c r="D11" i="23"/>
  <c r="D18" i="23"/>
  <c r="D26" i="23"/>
  <c r="D34" i="23"/>
  <c r="D38" i="23"/>
  <c r="D46" i="23"/>
  <c r="D58" i="23"/>
  <c r="D16" i="23"/>
  <c r="D20" i="23"/>
  <c r="D24" i="23"/>
  <c r="D28" i="23"/>
  <c r="D32" i="23"/>
  <c r="D36" i="23"/>
  <c r="D40" i="23"/>
  <c r="D44" i="23"/>
  <c r="D48" i="23"/>
  <c r="D52" i="23"/>
  <c r="D56" i="23"/>
  <c r="D60" i="23"/>
  <c r="D68" i="23"/>
  <c r="D10" i="23"/>
  <c r="D14" i="23"/>
  <c r="D17" i="23"/>
  <c r="D21" i="23"/>
  <c r="D25" i="23"/>
  <c r="D29" i="23"/>
  <c r="D33" i="23"/>
  <c r="D37" i="23"/>
  <c r="D41" i="23"/>
  <c r="D45" i="23"/>
  <c r="D49" i="23"/>
  <c r="D53" i="23"/>
  <c r="D57" i="23"/>
  <c r="D61" i="23"/>
  <c r="D69" i="23"/>
  <c r="D77" i="23"/>
  <c r="D133" i="23"/>
  <c r="D22" i="23"/>
  <c r="D30" i="23"/>
  <c r="D42" i="23"/>
  <c r="D50" i="23"/>
  <c r="D54" i="23"/>
  <c r="D62" i="23"/>
  <c r="D137" i="23"/>
  <c r="D141" i="23"/>
  <c r="D145" i="23"/>
  <c r="D149" i="23"/>
  <c r="D153" i="23"/>
  <c r="D157" i="23"/>
  <c r="D161" i="23"/>
  <c r="D165" i="23"/>
  <c r="D169" i="23"/>
  <c r="D173" i="23"/>
  <c r="D177" i="23"/>
  <c r="D181" i="23"/>
  <c r="D185" i="23"/>
  <c r="D189" i="23"/>
  <c r="D193" i="23"/>
  <c r="D197" i="23"/>
  <c r="D201" i="23"/>
  <c r="D205" i="23"/>
  <c r="D209" i="23"/>
  <c r="D213" i="23"/>
  <c r="D217" i="23"/>
  <c r="D221" i="23"/>
  <c r="D225" i="23"/>
  <c r="D229" i="23"/>
  <c r="D233" i="23"/>
  <c r="D237" i="23"/>
  <c r="D241" i="23"/>
  <c r="D245" i="23"/>
  <c r="D249" i="23"/>
  <c r="D257" i="23"/>
  <c r="H261" i="23"/>
  <c r="D265" i="23"/>
  <c r="D269" i="23"/>
  <c r="D277" i="23"/>
  <c r="D285" i="23"/>
  <c r="D289" i="23"/>
  <c r="D293" i="23"/>
  <c r="D297" i="23"/>
  <c r="D301" i="23"/>
  <c r="D305" i="23"/>
  <c r="D309" i="23"/>
  <c r="D313" i="23"/>
  <c r="D317" i="23"/>
  <c r="D321" i="23"/>
  <c r="D325" i="23"/>
  <c r="D329" i="23"/>
  <c r="D333" i="23"/>
  <c r="D337" i="23"/>
  <c r="D341" i="23"/>
  <c r="D345" i="23"/>
  <c r="D349" i="23"/>
  <c r="D353" i="23"/>
  <c r="D357" i="23"/>
  <c r="D361" i="23"/>
  <c r="D365" i="23"/>
  <c r="D369" i="23"/>
  <c r="D373" i="23"/>
  <c r="D377" i="23"/>
  <c r="D381" i="23"/>
  <c r="D385" i="23"/>
  <c r="D389" i="23"/>
  <c r="D393" i="23"/>
  <c r="D397" i="23"/>
  <c r="H401" i="23"/>
  <c r="D405" i="23"/>
  <c r="D409" i="23"/>
  <c r="H413" i="23"/>
  <c r="D417" i="23"/>
  <c r="D421" i="23"/>
  <c r="D429" i="23"/>
  <c r="D433" i="23"/>
  <c r="D441" i="23"/>
  <c r="D138" i="23"/>
  <c r="D142" i="23"/>
  <c r="D146" i="23"/>
  <c r="D150" i="23"/>
  <c r="D154" i="23"/>
  <c r="D158" i="23"/>
  <c r="D162" i="23"/>
  <c r="D166" i="23"/>
  <c r="D170" i="23"/>
  <c r="D174" i="23"/>
  <c r="D178" i="23"/>
  <c r="D182" i="23"/>
  <c r="D186" i="23"/>
  <c r="D190" i="23"/>
  <c r="D194" i="23"/>
  <c r="D198" i="23"/>
  <c r="D202" i="23"/>
  <c r="D206" i="23"/>
  <c r="D214" i="23"/>
  <c r="D218" i="23"/>
  <c r="D226" i="23"/>
  <c r="D230" i="23"/>
  <c r="D234" i="23"/>
  <c r="D238" i="23"/>
  <c r="H242" i="23"/>
  <c r="D246" i="23"/>
  <c r="H250" i="23"/>
  <c r="H254" i="23"/>
  <c r="D258" i="23"/>
  <c r="D266" i="23"/>
  <c r="D278" i="23"/>
  <c r="D286" i="23"/>
  <c r="D290" i="23"/>
  <c r="D294" i="23"/>
  <c r="D298" i="23"/>
  <c r="D302" i="23"/>
  <c r="D306" i="23"/>
  <c r="D310" i="23"/>
  <c r="D314" i="23"/>
  <c r="D318" i="23"/>
  <c r="D322" i="23"/>
  <c r="D326" i="23"/>
  <c r="D330" i="23"/>
  <c r="D334" i="23"/>
  <c r="D338" i="23"/>
  <c r="D342" i="23"/>
  <c r="D346" i="23"/>
  <c r="D350" i="23"/>
  <c r="D354" i="23"/>
  <c r="D358" i="23"/>
  <c r="D362" i="23"/>
  <c r="D366" i="23"/>
  <c r="D370" i="23"/>
  <c r="D378" i="23"/>
  <c r="D382" i="23"/>
  <c r="D394" i="23"/>
  <c r="D398" i="23"/>
  <c r="D406" i="23"/>
  <c r="H414" i="23"/>
  <c r="D418" i="23"/>
  <c r="H422" i="23"/>
  <c r="H426" i="23"/>
  <c r="D430" i="23"/>
  <c r="H434" i="23"/>
  <c r="D442" i="23"/>
  <c r="D139" i="23"/>
  <c r="D143" i="23"/>
  <c r="D147" i="23"/>
  <c r="D151" i="23"/>
  <c r="D155" i="23"/>
  <c r="D159" i="23"/>
  <c r="D163" i="23"/>
  <c r="D167" i="23"/>
  <c r="D171" i="23"/>
  <c r="D175" i="23"/>
  <c r="D179" i="23"/>
  <c r="D183" i="23"/>
  <c r="D187" i="23"/>
  <c r="D191" i="23"/>
  <c r="D195" i="23"/>
  <c r="D199" i="23"/>
  <c r="D203" i="23"/>
  <c r="D207" i="23"/>
  <c r="D211" i="23"/>
  <c r="D215" i="23"/>
  <c r="D219" i="23"/>
  <c r="D223" i="23"/>
  <c r="D227" i="23"/>
  <c r="D231" i="23"/>
  <c r="D235" i="23"/>
  <c r="D239" i="23"/>
  <c r="D247" i="23"/>
  <c r="H251" i="23"/>
  <c r="D255" i="23"/>
  <c r="D259" i="23"/>
  <c r="D267" i="23"/>
  <c r="D275" i="23"/>
  <c r="D279" i="23"/>
  <c r="D287" i="23"/>
  <c r="D291" i="23"/>
  <c r="D295" i="23"/>
  <c r="D299" i="23"/>
  <c r="D303" i="23"/>
  <c r="D307" i="23"/>
  <c r="D311" i="23"/>
  <c r="D315" i="23"/>
  <c r="D319" i="23"/>
  <c r="D323" i="23"/>
  <c r="D327" i="23"/>
  <c r="D331" i="23"/>
  <c r="D335" i="23"/>
  <c r="D339" i="23"/>
  <c r="D343" i="23"/>
  <c r="D347" i="23"/>
  <c r="D351" i="23"/>
  <c r="D355" i="23"/>
  <c r="D359" i="23"/>
  <c r="D363" i="23"/>
  <c r="D371" i="23"/>
  <c r="D375" i="23"/>
  <c r="D383" i="23"/>
  <c r="D387" i="23"/>
  <c r="D391" i="23"/>
  <c r="D395" i="23"/>
  <c r="D403" i="23"/>
  <c r="D407" i="23"/>
  <c r="H415" i="23"/>
  <c r="D419" i="23"/>
  <c r="H423" i="23"/>
  <c r="H427" i="23"/>
  <c r="D431" i="23"/>
  <c r="H435" i="23"/>
  <c r="D443" i="23"/>
  <c r="D455" i="23"/>
  <c r="D467" i="23"/>
  <c r="D140" i="23"/>
  <c r="D144" i="23"/>
  <c r="D160" i="23"/>
  <c r="D176" i="23"/>
  <c r="D192" i="23"/>
  <c r="D208" i="23"/>
  <c r="D224" i="23"/>
  <c r="D256" i="23"/>
  <c r="D288" i="23"/>
  <c r="D304" i="23"/>
  <c r="D320" i="23"/>
  <c r="D336" i="23"/>
  <c r="D352" i="23"/>
  <c r="D368" i="23"/>
  <c r="D384" i="23"/>
  <c r="H400" i="23"/>
  <c r="D416" i="23"/>
  <c r="D432" i="23"/>
  <c r="D445" i="23"/>
  <c r="D452" i="23"/>
  <c r="D457" i="23"/>
  <c r="D468" i="23"/>
  <c r="D454" i="23"/>
  <c r="D172" i="23"/>
  <c r="D220" i="23"/>
  <c r="D284" i="23"/>
  <c r="D332" i="23"/>
  <c r="D380" i="23"/>
  <c r="D428" i="23"/>
  <c r="D456" i="23"/>
  <c r="D148" i="23"/>
  <c r="D164" i="23"/>
  <c r="D180" i="23"/>
  <c r="D196" i="23"/>
  <c r="D228" i="23"/>
  <c r="H244" i="23"/>
  <c r="H260" i="23"/>
  <c r="D276" i="23"/>
  <c r="D292" i="23"/>
  <c r="D308" i="23"/>
  <c r="D324" i="23"/>
  <c r="D340" i="23"/>
  <c r="D356" i="23"/>
  <c r="D372" i="23"/>
  <c r="D388" i="23"/>
  <c r="D404" i="23"/>
  <c r="D420" i="23"/>
  <c r="D453" i="23"/>
  <c r="D464" i="23"/>
  <c r="D469" i="23"/>
  <c r="D136" i="23"/>
  <c r="D408" i="23"/>
  <c r="D156" i="23"/>
  <c r="D204" i="23"/>
  <c r="D236" i="23"/>
  <c r="D268" i="23"/>
  <c r="D316" i="23"/>
  <c r="D364" i="23"/>
  <c r="H412" i="23"/>
  <c r="D466" i="23"/>
  <c r="D152" i="23"/>
  <c r="D168" i="23"/>
  <c r="D184" i="23"/>
  <c r="D200" i="23"/>
  <c r="D216" i="23"/>
  <c r="H232" i="23"/>
  <c r="D248" i="23"/>
  <c r="D296" i="23"/>
  <c r="D312" i="23"/>
  <c r="D328" i="23"/>
  <c r="D344" i="23"/>
  <c r="D360" i="23"/>
  <c r="D392" i="23"/>
  <c r="D440" i="23"/>
  <c r="D465" i="23"/>
  <c r="D188" i="23"/>
  <c r="D300" i="23"/>
  <c r="D348" i="23"/>
  <c r="D396" i="23"/>
  <c r="D444" i="23"/>
  <c r="H444" i="23" l="1"/>
  <c r="H188" i="23"/>
  <c r="H376" i="23"/>
  <c r="H312" i="23"/>
  <c r="H216" i="23"/>
  <c r="H152" i="23"/>
  <c r="H316" i="23"/>
  <c r="H156" i="23"/>
  <c r="H464" i="23"/>
  <c r="H388" i="23"/>
  <c r="H324" i="23"/>
  <c r="H196" i="23"/>
  <c r="H456" i="23"/>
  <c r="H284" i="23"/>
  <c r="H468" i="23"/>
  <c r="H432" i="23"/>
  <c r="H368" i="23"/>
  <c r="H304" i="23"/>
  <c r="H224" i="23"/>
  <c r="H160" i="23"/>
  <c r="H455" i="23"/>
  <c r="H411" i="23"/>
  <c r="H395" i="23"/>
  <c r="H379" i="23"/>
  <c r="H363" i="23"/>
  <c r="H347" i="23"/>
  <c r="H331" i="23"/>
  <c r="H315" i="23"/>
  <c r="H299" i="23"/>
  <c r="H279" i="23"/>
  <c r="H259" i="23"/>
  <c r="H243" i="23"/>
  <c r="H227" i="23"/>
  <c r="H211" i="23"/>
  <c r="H195" i="23"/>
  <c r="H179" i="23"/>
  <c r="H163" i="23"/>
  <c r="H147" i="23"/>
  <c r="H418" i="23"/>
  <c r="H402" i="23"/>
  <c r="H386" i="23"/>
  <c r="H370" i="23"/>
  <c r="H354" i="23"/>
  <c r="H338" i="23"/>
  <c r="H322" i="23"/>
  <c r="H306" i="23"/>
  <c r="H290" i="23"/>
  <c r="H258" i="23"/>
  <c r="H226" i="23"/>
  <c r="H210" i="23"/>
  <c r="H194" i="23"/>
  <c r="H178" i="23"/>
  <c r="H162" i="23"/>
  <c r="H146" i="23"/>
  <c r="H433" i="23"/>
  <c r="H397" i="23"/>
  <c r="H381" i="23"/>
  <c r="H365" i="23"/>
  <c r="H349" i="23"/>
  <c r="H333" i="23"/>
  <c r="H317" i="23"/>
  <c r="H301" i="23"/>
  <c r="H285" i="23"/>
  <c r="H245" i="23"/>
  <c r="H229" i="23"/>
  <c r="H213" i="23"/>
  <c r="H197" i="23"/>
  <c r="H181" i="23"/>
  <c r="H165" i="23"/>
  <c r="H149" i="23"/>
  <c r="H130" i="23"/>
  <c r="H102" i="23"/>
  <c r="H70" i="23"/>
  <c r="H42" i="23"/>
  <c r="H121" i="23"/>
  <c r="H89" i="23"/>
  <c r="H69" i="23"/>
  <c r="H53" i="23"/>
  <c r="H37" i="23"/>
  <c r="H21" i="23"/>
  <c r="H132" i="23"/>
  <c r="H116" i="23"/>
  <c r="H100" i="23"/>
  <c r="H84" i="23"/>
  <c r="H68" i="23"/>
  <c r="H52" i="23"/>
  <c r="H36" i="23"/>
  <c r="H20" i="23"/>
  <c r="H114" i="23"/>
  <c r="H82" i="23"/>
  <c r="H46" i="23"/>
  <c r="H18" i="23"/>
  <c r="H117" i="23"/>
  <c r="H85" i="23"/>
  <c r="H123" i="23"/>
  <c r="H107" i="23"/>
  <c r="H91" i="23"/>
  <c r="H75" i="23"/>
  <c r="H59" i="23"/>
  <c r="H43" i="23"/>
  <c r="H27" i="23"/>
  <c r="H396" i="23"/>
  <c r="H465" i="23"/>
  <c r="H360" i="23"/>
  <c r="H296" i="23"/>
  <c r="H200" i="23"/>
  <c r="H466" i="23"/>
  <c r="H268" i="23"/>
  <c r="H408" i="23"/>
  <c r="H453" i="23"/>
  <c r="H372" i="23"/>
  <c r="H308" i="23"/>
  <c r="H180" i="23"/>
  <c r="H428" i="23"/>
  <c r="H220" i="23"/>
  <c r="H457" i="23"/>
  <c r="H416" i="23"/>
  <c r="H352" i="23"/>
  <c r="H288" i="23"/>
  <c r="H208" i="23"/>
  <c r="H144" i="23"/>
  <c r="H443" i="23"/>
  <c r="H407" i="23"/>
  <c r="H391" i="23"/>
  <c r="H375" i="23"/>
  <c r="H359" i="23"/>
  <c r="H343" i="23"/>
  <c r="H327" i="23"/>
  <c r="H311" i="23"/>
  <c r="H295" i="23"/>
  <c r="H275" i="23"/>
  <c r="H255" i="23"/>
  <c r="H239" i="23"/>
  <c r="H223" i="23"/>
  <c r="H207" i="23"/>
  <c r="H191" i="23"/>
  <c r="H175" i="23"/>
  <c r="H159" i="23"/>
  <c r="H143" i="23"/>
  <c r="H430" i="23"/>
  <c r="H398" i="23"/>
  <c r="H382" i="23"/>
  <c r="H366" i="23"/>
  <c r="H350" i="23"/>
  <c r="H334" i="23"/>
  <c r="H318" i="23"/>
  <c r="H302" i="23"/>
  <c r="H286" i="23"/>
  <c r="H238" i="23"/>
  <c r="H222" i="23"/>
  <c r="H206" i="23"/>
  <c r="H190" i="23"/>
  <c r="H174" i="23"/>
  <c r="H158" i="23"/>
  <c r="H142" i="23"/>
  <c r="H429" i="23"/>
  <c r="H409" i="23"/>
  <c r="H393" i="23"/>
  <c r="H377" i="23"/>
  <c r="H361" i="23"/>
  <c r="H345" i="23"/>
  <c r="H329" i="23"/>
  <c r="H313" i="23"/>
  <c r="H297" i="23"/>
  <c r="H277" i="23"/>
  <c r="H257" i="23"/>
  <c r="H241" i="23"/>
  <c r="H225" i="23"/>
  <c r="H209" i="23"/>
  <c r="H193" i="23"/>
  <c r="H177" i="23"/>
  <c r="H161" i="23"/>
  <c r="H145" i="23"/>
  <c r="H126" i="23"/>
  <c r="H94" i="23"/>
  <c r="H62" i="23"/>
  <c r="H30" i="23"/>
  <c r="H113" i="23"/>
  <c r="H81" i="23"/>
  <c r="H65" i="23"/>
  <c r="H49" i="23"/>
  <c r="H33" i="23"/>
  <c r="H17" i="23"/>
  <c r="H128" i="23"/>
  <c r="H112" i="23"/>
  <c r="H96" i="23"/>
  <c r="H80" i="23"/>
  <c r="H64" i="23"/>
  <c r="H48" i="23"/>
  <c r="H32" i="23"/>
  <c r="H16" i="23"/>
  <c r="H106" i="23"/>
  <c r="H74" i="23"/>
  <c r="H38" i="23"/>
  <c r="H11" i="23"/>
  <c r="H109" i="23"/>
  <c r="H135" i="23"/>
  <c r="H119" i="23"/>
  <c r="H103" i="23"/>
  <c r="H87" i="23"/>
  <c r="H71" i="23"/>
  <c r="H55" i="23"/>
  <c r="H39" i="23"/>
  <c r="H23" i="23"/>
  <c r="H348" i="23"/>
  <c r="H440" i="23"/>
  <c r="H344" i="23"/>
  <c r="H248" i="23"/>
  <c r="H184" i="23"/>
  <c r="H236" i="23"/>
  <c r="H136" i="23"/>
  <c r="H420" i="23"/>
  <c r="H356" i="23"/>
  <c r="H292" i="23"/>
  <c r="H228" i="23"/>
  <c r="H164" i="23"/>
  <c r="H380" i="23"/>
  <c r="H172" i="23"/>
  <c r="H452" i="23"/>
  <c r="H336" i="23"/>
  <c r="H256" i="23"/>
  <c r="H192" i="23"/>
  <c r="H140" i="23"/>
  <c r="H419" i="23"/>
  <c r="H403" i="23"/>
  <c r="H387" i="23"/>
  <c r="H371" i="23"/>
  <c r="H355" i="23"/>
  <c r="H339" i="23"/>
  <c r="H323" i="23"/>
  <c r="H307" i="23"/>
  <c r="H291" i="23"/>
  <c r="H267" i="23"/>
  <c r="H235" i="23"/>
  <c r="H219" i="23"/>
  <c r="H203" i="23"/>
  <c r="H187" i="23"/>
  <c r="H171" i="23"/>
  <c r="H155" i="23"/>
  <c r="H139" i="23"/>
  <c r="H410" i="23"/>
  <c r="H394" i="23"/>
  <c r="H378" i="23"/>
  <c r="H362" i="23"/>
  <c r="H346" i="23"/>
  <c r="H330" i="23"/>
  <c r="H314" i="23"/>
  <c r="H298" i="23"/>
  <c r="H278" i="23"/>
  <c r="H234" i="23"/>
  <c r="H218" i="23"/>
  <c r="H202" i="23"/>
  <c r="H186" i="23"/>
  <c r="H170" i="23"/>
  <c r="H154" i="23"/>
  <c r="H138" i="23"/>
  <c r="H421" i="23"/>
  <c r="H405" i="23"/>
  <c r="H389" i="23"/>
  <c r="H373" i="23"/>
  <c r="H357" i="23"/>
  <c r="H341" i="23"/>
  <c r="H325" i="23"/>
  <c r="H309" i="23"/>
  <c r="H293" i="23"/>
  <c r="H269" i="23"/>
  <c r="H253" i="23"/>
  <c r="H237" i="23"/>
  <c r="H221" i="23"/>
  <c r="H205" i="23"/>
  <c r="H189" i="23"/>
  <c r="H173" i="23"/>
  <c r="H157" i="23"/>
  <c r="H141" i="23"/>
  <c r="H118" i="23"/>
  <c r="H86" i="23"/>
  <c r="H54" i="23"/>
  <c r="H22" i="23"/>
  <c r="H105" i="23"/>
  <c r="H77" i="23"/>
  <c r="H61" i="23"/>
  <c r="H45" i="23"/>
  <c r="H29" i="23"/>
  <c r="H14" i="23"/>
  <c r="H124" i="23"/>
  <c r="H108" i="23"/>
  <c r="H92" i="23"/>
  <c r="H76" i="23"/>
  <c r="H60" i="23"/>
  <c r="H44" i="23"/>
  <c r="H28" i="23"/>
  <c r="H134" i="23"/>
  <c r="H98" i="23"/>
  <c r="H66" i="23"/>
  <c r="H34" i="23"/>
  <c r="H129" i="23"/>
  <c r="H101" i="23"/>
  <c r="H131" i="23"/>
  <c r="H115" i="23"/>
  <c r="H99" i="23"/>
  <c r="H83" i="23"/>
  <c r="H67" i="23"/>
  <c r="H51" i="23"/>
  <c r="H35" i="23"/>
  <c r="H19" i="23"/>
  <c r="H300" i="23"/>
  <c r="H392" i="23"/>
  <c r="H328" i="23"/>
  <c r="H168" i="23"/>
  <c r="H364" i="23"/>
  <c r="H204" i="23"/>
  <c r="H469" i="23"/>
  <c r="H404" i="23"/>
  <c r="H340" i="23"/>
  <c r="H276" i="23"/>
  <c r="H212" i="23"/>
  <c r="H148" i="23"/>
  <c r="H332" i="23"/>
  <c r="H454" i="23"/>
  <c r="H445" i="23"/>
  <c r="H384" i="23"/>
  <c r="H320" i="23"/>
  <c r="H240" i="23"/>
  <c r="H176" i="23"/>
  <c r="H467" i="23"/>
  <c r="H431" i="23"/>
  <c r="H399" i="23"/>
  <c r="H383" i="23"/>
  <c r="H367" i="23"/>
  <c r="H351" i="23"/>
  <c r="H335" i="23"/>
  <c r="H319" i="23"/>
  <c r="H303" i="23"/>
  <c r="H287" i="23"/>
  <c r="H263" i="23"/>
  <c r="H247" i="23"/>
  <c r="H231" i="23"/>
  <c r="H215" i="23"/>
  <c r="H199" i="23"/>
  <c r="H183" i="23"/>
  <c r="H167" i="23"/>
  <c r="H151" i="23"/>
  <c r="H442" i="23"/>
  <c r="H406" i="23"/>
  <c r="H390" i="23"/>
  <c r="H374" i="23"/>
  <c r="H358" i="23"/>
  <c r="H342" i="23"/>
  <c r="H326" i="23"/>
  <c r="H310" i="23"/>
  <c r="H294" i="23"/>
  <c r="H266" i="23"/>
  <c r="H246" i="23"/>
  <c r="H230" i="23"/>
  <c r="H214" i="23"/>
  <c r="H198" i="23"/>
  <c r="H182" i="23"/>
  <c r="H166" i="23"/>
  <c r="H150" i="23"/>
  <c r="H441" i="23"/>
  <c r="H417" i="23"/>
  <c r="H385" i="23"/>
  <c r="H369" i="23"/>
  <c r="H353" i="23"/>
  <c r="H337" i="23"/>
  <c r="H321" i="23"/>
  <c r="H305" i="23"/>
  <c r="H289" i="23"/>
  <c r="H265" i="23"/>
  <c r="H249" i="23"/>
  <c r="H233" i="23"/>
  <c r="H217" i="23"/>
  <c r="H201" i="23"/>
  <c r="H185" i="23"/>
  <c r="H169" i="23"/>
  <c r="H153" i="23"/>
  <c r="H137" i="23"/>
  <c r="H110" i="23"/>
  <c r="H78" i="23"/>
  <c r="H50" i="23"/>
  <c r="H133" i="23"/>
  <c r="H97" i="23"/>
  <c r="H73" i="23"/>
  <c r="H57" i="23"/>
  <c r="H41" i="23"/>
  <c r="H25" i="23"/>
  <c r="H10" i="23"/>
  <c r="H120" i="23"/>
  <c r="H104" i="23"/>
  <c r="H88" i="23"/>
  <c r="H72" i="23"/>
  <c r="H56" i="23"/>
  <c r="H40" i="23"/>
  <c r="H24" i="23"/>
  <c r="H122" i="23"/>
  <c r="H90" i="23"/>
  <c r="H58" i="23"/>
  <c r="H26" i="23"/>
  <c r="H125" i="23"/>
  <c r="H93" i="23"/>
  <c r="H127" i="23"/>
  <c r="H111" i="23"/>
  <c r="H95" i="23"/>
  <c r="H79" i="23"/>
  <c r="H63" i="23"/>
  <c r="H47" i="23"/>
  <c r="H31" i="23"/>
  <c r="H15" i="23"/>
  <c r="N68" i="22"/>
  <c r="N64" i="22"/>
  <c r="N62" i="22"/>
  <c r="N74" i="22" l="1"/>
  <c r="W23" i="22"/>
  <c r="Q114" i="22"/>
  <c r="D32" i="22"/>
  <c r="CT87" i="22" l="1"/>
  <c r="CS87" i="22"/>
  <c r="CN88" i="22"/>
  <c r="CN89" i="22" s="1"/>
  <c r="CN90" i="22" s="1"/>
  <c r="CN91" i="22" s="1"/>
  <c r="CU87" i="22" l="1"/>
  <c r="O16" i="1" s="1"/>
  <c r="F32" i="22" s="1"/>
  <c r="D33" i="22" l="1"/>
  <c r="M34" i="22"/>
  <c r="I31" i="22" l="1"/>
  <c r="G29" i="1" l="1"/>
  <c r="C14" i="1" l="1"/>
  <c r="M14" i="22"/>
  <c r="W14" i="22"/>
  <c r="G32" i="22" s="1"/>
  <c r="X14" i="22"/>
  <c r="Q81" i="22" l="1"/>
  <c r="F31" i="22"/>
  <c r="F46" i="22"/>
  <c r="F44" i="22"/>
  <c r="F48" i="22"/>
  <c r="Q51" i="22"/>
  <c r="Q48" i="22"/>
  <c r="Q46" i="22"/>
  <c r="Q44" i="22"/>
  <c r="Q42" i="22"/>
  <c r="Q40" i="22"/>
  <c r="D13" i="25"/>
  <c r="N70" i="22"/>
  <c r="Q62" i="22"/>
  <c r="H10" i="22" l="1"/>
  <c r="H40" i="22" l="1"/>
  <c r="L62" i="22"/>
  <c r="L70" i="22" s="1"/>
  <c r="L74" i="22" s="1"/>
  <c r="L64" i="22" l="1"/>
  <c r="L68" i="22"/>
  <c r="R25" i="1" l="1"/>
  <c r="O32" i="1"/>
  <c r="Q32" i="1" s="1"/>
  <c r="T29" i="1"/>
  <c r="J72" i="22" l="1"/>
  <c r="N72" i="22"/>
  <c r="E81" i="19"/>
  <c r="D6" i="25"/>
  <c r="I51" i="22" l="1"/>
  <c r="H11" i="1"/>
  <c r="H12" i="1"/>
  <c r="H13" i="1"/>
  <c r="G14" i="1"/>
  <c r="H14" i="1" s="1"/>
  <c r="F54" i="22" l="1"/>
  <c r="I48" i="22"/>
  <c r="CB33" i="22"/>
  <c r="CC33" i="22"/>
  <c r="CD33" i="22"/>
  <c r="CE33" i="22"/>
  <c r="CH33" i="22"/>
  <c r="CI33" i="22"/>
  <c r="CJ33" i="22"/>
  <c r="E18" i="19" l="1"/>
  <c r="E19" i="19"/>
  <c r="O9" i="1" l="1"/>
  <c r="AN87" i="22" l="1"/>
  <c r="AP87" i="22" s="1"/>
  <c r="N66" i="22" l="1"/>
  <c r="X38" i="22" l="1"/>
  <c r="Y40" i="22"/>
  <c r="M27" i="22" l="1"/>
  <c r="J81" i="22" l="1"/>
  <c r="C15" i="1"/>
  <c r="C16" i="1"/>
  <c r="C17" i="1"/>
  <c r="G27" i="22"/>
  <c r="G38" i="1"/>
  <c r="E48" i="22"/>
  <c r="CH48" i="22"/>
  <c r="CI48" i="22"/>
  <c r="CJ48" i="22"/>
  <c r="CH50" i="22"/>
  <c r="CI50" i="22"/>
  <c r="CJ50" i="22"/>
  <c r="V10" i="24"/>
  <c r="X17" i="24"/>
  <c r="X18" i="24"/>
  <c r="X19" i="24"/>
  <c r="X20" i="24"/>
  <c r="X21" i="24"/>
  <c r="X22" i="24"/>
  <c r="X23" i="24"/>
  <c r="X24" i="24"/>
  <c r="X25" i="24"/>
  <c r="X26" i="24"/>
  <c r="X16" i="24"/>
  <c r="F40" i="22"/>
  <c r="F42" i="22"/>
  <c r="E51" i="22"/>
  <c r="F51" i="22"/>
  <c r="E54" i="22"/>
  <c r="J6" i="1"/>
  <c r="G17" i="1" s="1"/>
  <c r="N81" i="22"/>
  <c r="N77" i="22"/>
  <c r="J21" i="1"/>
  <c r="W4" i="1"/>
  <c r="E46" i="19"/>
  <c r="BV14" i="22"/>
  <c r="J5" i="22"/>
  <c r="I47" i="19"/>
  <c r="I46" i="19"/>
  <c r="N79" i="22"/>
  <c r="K12" i="24"/>
  <c r="O3" i="1"/>
  <c r="J19" i="1" s="1"/>
  <c r="O8" i="1" s="1"/>
  <c r="G97" i="22"/>
  <c r="J8" i="24"/>
  <c r="B2" i="25"/>
  <c r="D21" i="19"/>
  <c r="D20" i="19"/>
  <c r="D19" i="19"/>
  <c r="D18" i="19"/>
  <c r="D17" i="19"/>
  <c r="AG152" i="22"/>
  <c r="I45" i="19"/>
  <c r="E45" i="19"/>
  <c r="A45" i="19" s="1"/>
  <c r="I44" i="19"/>
  <c r="I43" i="19"/>
  <c r="E43" i="19"/>
  <c r="A43" i="19" s="1"/>
  <c r="I42" i="19"/>
  <c r="E42" i="19"/>
  <c r="A42" i="19" s="1"/>
  <c r="I41" i="19"/>
  <c r="I40" i="19"/>
  <c r="E41" i="19"/>
  <c r="A41" i="19" s="1"/>
  <c r="E40" i="19"/>
  <c r="A40" i="19" s="1"/>
  <c r="B11" i="24"/>
  <c r="B12" i="24"/>
  <c r="CI19" i="22" s="1"/>
  <c r="B13" i="24"/>
  <c r="CI22" i="22" s="1"/>
  <c r="E21" i="19"/>
  <c r="A20" i="19" s="1"/>
  <c r="M22" i="19"/>
  <c r="M23" i="19"/>
  <c r="M24" i="19"/>
  <c r="M25" i="19"/>
  <c r="M26" i="19"/>
  <c r="M27" i="19"/>
  <c r="M28" i="19"/>
  <c r="M29" i="19"/>
  <c r="M30" i="19"/>
  <c r="M31" i="19"/>
  <c r="M32" i="19"/>
  <c r="E39" i="19"/>
  <c r="A39" i="19" s="1"/>
  <c r="I39" i="19"/>
  <c r="D40" i="19"/>
  <c r="D41" i="19"/>
  <c r="D42" i="19"/>
  <c r="E47" i="19"/>
  <c r="A47" i="19" s="1"/>
  <c r="M51" i="19"/>
  <c r="R51" i="19" s="1"/>
  <c r="M52" i="19"/>
  <c r="R52" i="19" s="1"/>
  <c r="M53" i="19"/>
  <c r="R53" i="19" s="1"/>
  <c r="M54" i="19"/>
  <c r="R54" i="19" s="1"/>
  <c r="M55" i="19"/>
  <c r="R55" i="19" s="1"/>
  <c r="M56" i="19"/>
  <c r="R56" i="19" s="1"/>
  <c r="M57" i="19"/>
  <c r="R57" i="19" s="1"/>
  <c r="M58" i="19"/>
  <c r="R58" i="19" s="1"/>
  <c r="M59" i="19"/>
  <c r="R59" i="19" s="1"/>
  <c r="O26" i="1"/>
  <c r="O28" i="1"/>
  <c r="R29" i="1"/>
  <c r="R28" i="1"/>
  <c r="R27" i="1"/>
  <c r="O27" i="1"/>
  <c r="R26" i="1"/>
  <c r="O25" i="1"/>
  <c r="R24" i="1"/>
  <c r="O24" i="1"/>
  <c r="R23" i="1"/>
  <c r="G5" i="19"/>
  <c r="D49" i="19"/>
  <c r="A49" i="19"/>
  <c r="R60" i="19"/>
  <c r="N83" i="22"/>
  <c r="N85" i="22"/>
  <c r="D48" i="19"/>
  <c r="A48" i="19"/>
  <c r="D46" i="19"/>
  <c r="D44" i="19"/>
  <c r="F11" i="24"/>
  <c r="F12" i="24" s="1"/>
  <c r="F13" i="24" s="1"/>
  <c r="F14" i="24" s="1"/>
  <c r="F15" i="24" s="1"/>
  <c r="F16" i="24" s="1"/>
  <c r="F17" i="24" s="1"/>
  <c r="F18" i="24" s="1"/>
  <c r="F19" i="24" s="1"/>
  <c r="F20" i="24" s="1"/>
  <c r="F21" i="24" s="1"/>
  <c r="F22" i="24" s="1"/>
  <c r="F23" i="24" s="1"/>
  <c r="G11" i="24"/>
  <c r="G12" i="24" s="1"/>
  <c r="G13" i="24" s="1"/>
  <c r="G14" i="24" s="1"/>
  <c r="G15" i="24" s="1"/>
  <c r="G16" i="24" s="1"/>
  <c r="G17" i="24" s="1"/>
  <c r="G18" i="24" s="1"/>
  <c r="G19" i="24" s="1"/>
  <c r="G20" i="24" s="1"/>
  <c r="G21" i="24" s="1"/>
  <c r="G22" i="24" s="1"/>
  <c r="G23" i="24" s="1"/>
  <c r="I12" i="24"/>
  <c r="N11" i="24"/>
  <c r="N12" i="24" s="1"/>
  <c r="N13" i="24" s="1"/>
  <c r="N14" i="24" s="1"/>
  <c r="N15" i="24" s="1"/>
  <c r="N16" i="24" s="1"/>
  <c r="N17" i="24" s="1"/>
  <c r="N18" i="24" s="1"/>
  <c r="N19" i="24" s="1"/>
  <c r="N20" i="24" s="1"/>
  <c r="N21" i="24" s="1"/>
  <c r="N22" i="24" s="1"/>
  <c r="N23" i="24" s="1"/>
  <c r="H10" i="24"/>
  <c r="H11" i="24" s="1"/>
  <c r="H12" i="24" s="1"/>
  <c r="H13" i="24" s="1"/>
  <c r="H14" i="24" s="1"/>
  <c r="H15" i="24" s="1"/>
  <c r="H16" i="24" s="1"/>
  <c r="H17" i="24" s="1"/>
  <c r="H18" i="24" s="1"/>
  <c r="H19" i="24" s="1"/>
  <c r="H20" i="24" s="1"/>
  <c r="H21" i="24" s="1"/>
  <c r="H22" i="24" s="1"/>
  <c r="H23" i="24" s="1"/>
  <c r="I14" i="24"/>
  <c r="M12" i="24"/>
  <c r="BV7" i="22"/>
  <c r="BV8" i="22"/>
  <c r="BV9" i="22"/>
  <c r="BV12" i="22"/>
  <c r="BV13" i="22"/>
  <c r="BV16" i="22"/>
  <c r="BV17" i="22"/>
  <c r="BV18" i="22"/>
  <c r="BV19" i="22"/>
  <c r="BV22" i="22"/>
  <c r="BV26" i="22"/>
  <c r="BV27" i="22"/>
  <c r="BV28" i="22"/>
  <c r="BV29" i="22"/>
  <c r="BV32" i="22"/>
  <c r="BV36" i="22"/>
  <c r="BV37" i="22"/>
  <c r="BV38" i="22"/>
  <c r="I23" i="24"/>
  <c r="I22" i="24"/>
  <c r="I21" i="24"/>
  <c r="I20" i="24"/>
  <c r="I19" i="24"/>
  <c r="I18" i="24"/>
  <c r="I17" i="24"/>
  <c r="I16" i="24"/>
  <c r="I15" i="24"/>
  <c r="I13" i="24"/>
  <c r="I11" i="24"/>
  <c r="I10" i="24"/>
  <c r="M11" i="24"/>
  <c r="M23" i="24"/>
  <c r="M22" i="24"/>
  <c r="M21" i="24"/>
  <c r="M20" i="24"/>
  <c r="M19" i="24"/>
  <c r="M18" i="24"/>
  <c r="M17" i="24"/>
  <c r="M16" i="24"/>
  <c r="M15" i="24"/>
  <c r="M14" i="24"/>
  <c r="M13" i="24"/>
  <c r="K23" i="24"/>
  <c r="K22" i="24"/>
  <c r="K21" i="24"/>
  <c r="K20" i="24"/>
  <c r="K19" i="24"/>
  <c r="K18" i="24"/>
  <c r="K17" i="24"/>
  <c r="K16" i="24"/>
  <c r="K15" i="24"/>
  <c r="J23" i="24"/>
  <c r="J22" i="24"/>
  <c r="J21" i="24"/>
  <c r="J20" i="24"/>
  <c r="J19" i="24"/>
  <c r="J18" i="24"/>
  <c r="J17" i="24"/>
  <c r="J16" i="24"/>
  <c r="J15" i="24"/>
  <c r="B23" i="24"/>
  <c r="CI36" i="22" s="1"/>
  <c r="B22" i="24"/>
  <c r="CI35" i="22" s="1"/>
  <c r="B21" i="24"/>
  <c r="CI34" i="22" s="1"/>
  <c r="B20" i="24"/>
  <c r="B19" i="24"/>
  <c r="CI32" i="22" s="1"/>
  <c r="B18" i="24"/>
  <c r="B17" i="24"/>
  <c r="CI29" i="22" s="1"/>
  <c r="B16" i="24"/>
  <c r="CI28" i="22" s="1"/>
  <c r="B15" i="24"/>
  <c r="CI27" i="22" s="1"/>
  <c r="B14" i="24"/>
  <c r="CI26" i="22" s="1"/>
  <c r="CH19" i="22"/>
  <c r="CJ19" i="22"/>
  <c r="CH22" i="22"/>
  <c r="CJ22" i="22"/>
  <c r="CH26" i="22"/>
  <c r="CJ26" i="22"/>
  <c r="CH27" i="22"/>
  <c r="CJ27" i="22"/>
  <c r="CH28" i="22"/>
  <c r="CJ28" i="22"/>
  <c r="CH29" i="22"/>
  <c r="CJ29" i="22"/>
  <c r="CH32" i="22"/>
  <c r="CJ32" i="22"/>
  <c r="CH34" i="22"/>
  <c r="CJ34" i="22"/>
  <c r="CH35" i="22"/>
  <c r="CJ35" i="22"/>
  <c r="CH36" i="22"/>
  <c r="CJ36" i="22"/>
  <c r="CH37" i="22"/>
  <c r="CI37" i="22"/>
  <c r="CJ37" i="22"/>
  <c r="CH38" i="22"/>
  <c r="CI38" i="22"/>
  <c r="CJ38" i="22"/>
  <c r="CH39" i="22"/>
  <c r="CI39" i="22"/>
  <c r="CJ39" i="22"/>
  <c r="CH40" i="22"/>
  <c r="CI40" i="22"/>
  <c r="CJ40" i="22"/>
  <c r="CH47" i="22"/>
  <c r="CI47" i="22"/>
  <c r="CJ47" i="22"/>
  <c r="CH49" i="22"/>
  <c r="CI49" i="22"/>
  <c r="CJ49" i="22"/>
  <c r="CH51" i="22"/>
  <c r="CI51" i="22"/>
  <c r="CJ51" i="22"/>
  <c r="CH52" i="22"/>
  <c r="CI52" i="22"/>
  <c r="CJ52" i="22"/>
  <c r="CH54" i="22"/>
  <c r="CI54" i="22"/>
  <c r="CJ54" i="22"/>
  <c r="CH55" i="22"/>
  <c r="CI55" i="22"/>
  <c r="CJ55" i="22"/>
  <c r="CH56" i="22"/>
  <c r="CI56" i="22"/>
  <c r="CJ56" i="22"/>
  <c r="CH57" i="22"/>
  <c r="CI57" i="22"/>
  <c r="CJ57" i="22"/>
  <c r="CH58" i="22"/>
  <c r="CI58" i="22"/>
  <c r="CJ58" i="22"/>
  <c r="CH59" i="22"/>
  <c r="CI59" i="22"/>
  <c r="CJ59" i="22"/>
  <c r="CH60" i="22"/>
  <c r="CI60" i="22"/>
  <c r="CJ60" i="22"/>
  <c r="CH61" i="22"/>
  <c r="CI61" i="22"/>
  <c r="CJ61" i="22"/>
  <c r="D11" i="24"/>
  <c r="E11" i="24" s="1"/>
  <c r="AG42" i="24"/>
  <c r="AG43" i="24"/>
  <c r="AG44" i="24"/>
  <c r="AG45" i="24"/>
  <c r="AG46" i="24"/>
  <c r="AG47" i="24"/>
  <c r="AG48" i="24"/>
  <c r="AG49" i="24"/>
  <c r="AG50" i="24"/>
  <c r="AG51" i="24"/>
  <c r="AG52" i="24"/>
  <c r="AG53" i="24"/>
  <c r="AG54" i="24"/>
  <c r="AG55" i="24"/>
  <c r="AG56" i="24"/>
  <c r="AG57" i="24"/>
  <c r="AG58" i="24"/>
  <c r="AG59" i="24"/>
  <c r="AG60" i="24"/>
  <c r="AG61" i="24"/>
  <c r="AG62" i="24"/>
  <c r="AG63" i="24"/>
  <c r="AG64" i="24"/>
  <c r="CB32" i="22"/>
  <c r="CB19" i="22"/>
  <c r="CB26" i="22"/>
  <c r="CB27" i="22"/>
  <c r="CB28" i="22"/>
  <c r="CB29" i="22"/>
  <c r="AC152" i="22"/>
  <c r="AE152" i="22"/>
  <c r="AA152" i="22"/>
  <c r="AG65" i="24"/>
  <c r="AJ153" i="22"/>
  <c r="AF114" i="22"/>
  <c r="AG66" i="24"/>
  <c r="AG67" i="24"/>
  <c r="M33" i="19"/>
  <c r="M10" i="24"/>
  <c r="AG68" i="24"/>
  <c r="AG69" i="24"/>
  <c r="AG70" i="24"/>
  <c r="AG71" i="24"/>
  <c r="AG72" i="24"/>
  <c r="AG73" i="24"/>
  <c r="AG74" i="24"/>
  <c r="AG75" i="24"/>
  <c r="AG76" i="24"/>
  <c r="AG77" i="24"/>
  <c r="AG78" i="24"/>
  <c r="AG79" i="24"/>
  <c r="AG80" i="24"/>
  <c r="AG81" i="24"/>
  <c r="E10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E69" i="24"/>
  <c r="CE68" i="24"/>
  <c r="CE67" i="24"/>
  <c r="CE66" i="24"/>
  <c r="CE65" i="24"/>
  <c r="CE64" i="24"/>
  <c r="CE63" i="24"/>
  <c r="CE62" i="24"/>
  <c r="CE61" i="24"/>
  <c r="CE60" i="24"/>
  <c r="CE59" i="24"/>
  <c r="CE58" i="24"/>
  <c r="CE57" i="24"/>
  <c r="CE56" i="24"/>
  <c r="CE55" i="24"/>
  <c r="CE54" i="24"/>
  <c r="CE53" i="24"/>
  <c r="CE52" i="24"/>
  <c r="CE51" i="24"/>
  <c r="CE50" i="24"/>
  <c r="CE49" i="24"/>
  <c r="CE48" i="24"/>
  <c r="CE47" i="24"/>
  <c r="CE46" i="24"/>
  <c r="CE45" i="24"/>
  <c r="CE44" i="24"/>
  <c r="CE43" i="24"/>
  <c r="CE42" i="24"/>
  <c r="BZ81" i="24"/>
  <c r="BZ80" i="24"/>
  <c r="BZ79" i="24"/>
  <c r="BZ78" i="24"/>
  <c r="BZ77" i="24"/>
  <c r="BZ76" i="24"/>
  <c r="BZ75" i="24"/>
  <c r="BZ74" i="24"/>
  <c r="BZ73" i="24"/>
  <c r="BZ72" i="24"/>
  <c r="BZ71" i="24"/>
  <c r="BZ70" i="24"/>
  <c r="BZ69" i="24"/>
  <c r="BZ68" i="24"/>
  <c r="BZ67" i="24"/>
  <c r="BZ66" i="24"/>
  <c r="BZ65" i="24"/>
  <c r="BZ64" i="24"/>
  <c r="BZ63" i="24"/>
  <c r="BZ62" i="24"/>
  <c r="BZ61" i="24"/>
  <c r="BZ60" i="24"/>
  <c r="BZ59" i="24"/>
  <c r="BZ58" i="24"/>
  <c r="BZ57" i="24"/>
  <c r="BZ56" i="24"/>
  <c r="BZ55" i="24"/>
  <c r="BZ54" i="24"/>
  <c r="BZ53" i="24"/>
  <c r="BZ52" i="24"/>
  <c r="BZ51" i="24"/>
  <c r="BZ50" i="24"/>
  <c r="BZ49" i="24"/>
  <c r="BZ48" i="24"/>
  <c r="BZ47" i="24"/>
  <c r="BZ46" i="24"/>
  <c r="BZ45" i="24"/>
  <c r="BZ44" i="24"/>
  <c r="BZ43" i="24"/>
  <c r="BZ42" i="24"/>
  <c r="BU81" i="24"/>
  <c r="BU80" i="24"/>
  <c r="BU79" i="24"/>
  <c r="BU78" i="24"/>
  <c r="BU77" i="24"/>
  <c r="BU76" i="24"/>
  <c r="BU75" i="24"/>
  <c r="BU74" i="24"/>
  <c r="BU73" i="24"/>
  <c r="BU72" i="24"/>
  <c r="BU71" i="24"/>
  <c r="BU70" i="24"/>
  <c r="BU69" i="24"/>
  <c r="BU68" i="24"/>
  <c r="BU67" i="24"/>
  <c r="BU66" i="24"/>
  <c r="BU65" i="24"/>
  <c r="BU64" i="24"/>
  <c r="BU63" i="24"/>
  <c r="BU62" i="24"/>
  <c r="BU61" i="24"/>
  <c r="BU60" i="24"/>
  <c r="BU59" i="24"/>
  <c r="BU58" i="24"/>
  <c r="BU57" i="24"/>
  <c r="BU56" i="24"/>
  <c r="BU55" i="24"/>
  <c r="BU54" i="24"/>
  <c r="BU53" i="24"/>
  <c r="BU52" i="24"/>
  <c r="BU51" i="24"/>
  <c r="BU50" i="24"/>
  <c r="BU49" i="24"/>
  <c r="BU48" i="24"/>
  <c r="BU47" i="24"/>
  <c r="BU46" i="24"/>
  <c r="BU45" i="24"/>
  <c r="BU44" i="24"/>
  <c r="BU43" i="24"/>
  <c r="BU42" i="24"/>
  <c r="BP81" i="24"/>
  <c r="BP80" i="24"/>
  <c r="BP79" i="24"/>
  <c r="BP78" i="24"/>
  <c r="BP77" i="24"/>
  <c r="BP76" i="24"/>
  <c r="BP75" i="24"/>
  <c r="BP74" i="24"/>
  <c r="BP73" i="24"/>
  <c r="BP72" i="24"/>
  <c r="BP71" i="24"/>
  <c r="BP70" i="24"/>
  <c r="BP69" i="24"/>
  <c r="BP68" i="24"/>
  <c r="BP67" i="24"/>
  <c r="BP66" i="24"/>
  <c r="BP65" i="24"/>
  <c r="BP64" i="24"/>
  <c r="BP63" i="24"/>
  <c r="BP62" i="24"/>
  <c r="BP61" i="24"/>
  <c r="BP60" i="24"/>
  <c r="BP59" i="24"/>
  <c r="BP58" i="24"/>
  <c r="BP57" i="24"/>
  <c r="BP56" i="24"/>
  <c r="BP55" i="24"/>
  <c r="BP54" i="24"/>
  <c r="BP53" i="24"/>
  <c r="BP52" i="24"/>
  <c r="BP51" i="24"/>
  <c r="BP50" i="24"/>
  <c r="BP49" i="24"/>
  <c r="BP48" i="24"/>
  <c r="BP47" i="24"/>
  <c r="BP46" i="24"/>
  <c r="BP45" i="24"/>
  <c r="BP44" i="24"/>
  <c r="BP43" i="24"/>
  <c r="BP42" i="24"/>
  <c r="BK81" i="24"/>
  <c r="BK80" i="24"/>
  <c r="BK79" i="24"/>
  <c r="BK78" i="24"/>
  <c r="BK77" i="24"/>
  <c r="BK76" i="24"/>
  <c r="BK75" i="24"/>
  <c r="BK74" i="24"/>
  <c r="BK73" i="24"/>
  <c r="BK72" i="24"/>
  <c r="BK71" i="24"/>
  <c r="BK70" i="24"/>
  <c r="BK69" i="24"/>
  <c r="BK68" i="24"/>
  <c r="BK67" i="24"/>
  <c r="BK66" i="24"/>
  <c r="BK65" i="24"/>
  <c r="BK64" i="24"/>
  <c r="BK63" i="24"/>
  <c r="BK62" i="24"/>
  <c r="BK61" i="24"/>
  <c r="BK60" i="24"/>
  <c r="BK59" i="24"/>
  <c r="BK58" i="24"/>
  <c r="BK57" i="24"/>
  <c r="BK56" i="24"/>
  <c r="BK55" i="24"/>
  <c r="BK54" i="24"/>
  <c r="BK53" i="24"/>
  <c r="BK52" i="24"/>
  <c r="BK51" i="24"/>
  <c r="BK50" i="24"/>
  <c r="BK49" i="24"/>
  <c r="BK48" i="24"/>
  <c r="BK47" i="24"/>
  <c r="BK46" i="24"/>
  <c r="BK45" i="24"/>
  <c r="BK44" i="24"/>
  <c r="BK43" i="24"/>
  <c r="BK42" i="24"/>
  <c r="BF81" i="24"/>
  <c r="BF80" i="24"/>
  <c r="BF79" i="24"/>
  <c r="BF78" i="24"/>
  <c r="BF77" i="24"/>
  <c r="BF76" i="24"/>
  <c r="BF75" i="24"/>
  <c r="BF74" i="24"/>
  <c r="BF73" i="24"/>
  <c r="BF72" i="24"/>
  <c r="BF71" i="24"/>
  <c r="BF70" i="24"/>
  <c r="BF69" i="24"/>
  <c r="BF68" i="24"/>
  <c r="BF67" i="24"/>
  <c r="BF66" i="24"/>
  <c r="BF65" i="24"/>
  <c r="BF64" i="24"/>
  <c r="BF63" i="24"/>
  <c r="BF62" i="24"/>
  <c r="BF61" i="24"/>
  <c r="BF60" i="24"/>
  <c r="BF59" i="24"/>
  <c r="BF58" i="24"/>
  <c r="BF57" i="24"/>
  <c r="BF56" i="24"/>
  <c r="BF55" i="24"/>
  <c r="BF54" i="24"/>
  <c r="BF53" i="24"/>
  <c r="BF52" i="24"/>
  <c r="BF51" i="24"/>
  <c r="BF50" i="24"/>
  <c r="BF49" i="24"/>
  <c r="BF48" i="24"/>
  <c r="BF47" i="24"/>
  <c r="BF46" i="24"/>
  <c r="BF45" i="24"/>
  <c r="BF44" i="24"/>
  <c r="BF43" i="24"/>
  <c r="BF42" i="24"/>
  <c r="BA81" i="24"/>
  <c r="BA80" i="24"/>
  <c r="BA79" i="24"/>
  <c r="BA78" i="24"/>
  <c r="BA77" i="24"/>
  <c r="BA76" i="24"/>
  <c r="BA75" i="24"/>
  <c r="BA74" i="24"/>
  <c r="BA73" i="24"/>
  <c r="BA72" i="24"/>
  <c r="BA71" i="24"/>
  <c r="BA70" i="24"/>
  <c r="BA69" i="24"/>
  <c r="BA68" i="24"/>
  <c r="BA67" i="24"/>
  <c r="BA66" i="24"/>
  <c r="BA65" i="24"/>
  <c r="BA64" i="24"/>
  <c r="BA63" i="24"/>
  <c r="BA62" i="24"/>
  <c r="BA61" i="24"/>
  <c r="BA60" i="24"/>
  <c r="BA59" i="24"/>
  <c r="BA58" i="24"/>
  <c r="BA57" i="24"/>
  <c r="BA56" i="24"/>
  <c r="BA55" i="24"/>
  <c r="BA54" i="24"/>
  <c r="BA53" i="24"/>
  <c r="BA52" i="24"/>
  <c r="BA51" i="24"/>
  <c r="BA50" i="24"/>
  <c r="BA49" i="24"/>
  <c r="BA48" i="24"/>
  <c r="BA47" i="24"/>
  <c r="BA46" i="24"/>
  <c r="BA45" i="24"/>
  <c r="BA44" i="24"/>
  <c r="BA43" i="24"/>
  <c r="BA42" i="24"/>
  <c r="AV81" i="24"/>
  <c r="AV80" i="24"/>
  <c r="AV79" i="24"/>
  <c r="AV78" i="24"/>
  <c r="AV77" i="24"/>
  <c r="AV76" i="24"/>
  <c r="AV75" i="24"/>
  <c r="AV74" i="24"/>
  <c r="AV73" i="24"/>
  <c r="AV72" i="24"/>
  <c r="AV71" i="24"/>
  <c r="AV70" i="24"/>
  <c r="AV69" i="24"/>
  <c r="AV68" i="24"/>
  <c r="AV67" i="24"/>
  <c r="AV66" i="24"/>
  <c r="AV65" i="24"/>
  <c r="AV64" i="24"/>
  <c r="AV63" i="24"/>
  <c r="AV62" i="24"/>
  <c r="AV61" i="24"/>
  <c r="AV60" i="24"/>
  <c r="AV59" i="24"/>
  <c r="AV58" i="24"/>
  <c r="AV57" i="24"/>
  <c r="AV56" i="24"/>
  <c r="AV55" i="24"/>
  <c r="AV54" i="24"/>
  <c r="AV53" i="24"/>
  <c r="AV52" i="24"/>
  <c r="AV51" i="24"/>
  <c r="AV50" i="24"/>
  <c r="AV49" i="24"/>
  <c r="AV48" i="24"/>
  <c r="AV47" i="24"/>
  <c r="AV46" i="24"/>
  <c r="AV45" i="24"/>
  <c r="AV44" i="24"/>
  <c r="AV43" i="24"/>
  <c r="AV42" i="24"/>
  <c r="AQ81" i="24"/>
  <c r="AQ80" i="24"/>
  <c r="AQ79" i="24"/>
  <c r="AQ78" i="24"/>
  <c r="AQ77" i="24"/>
  <c r="AQ76" i="24"/>
  <c r="AQ75" i="24"/>
  <c r="AQ74" i="24"/>
  <c r="AQ73" i="24"/>
  <c r="AQ72" i="24"/>
  <c r="AQ71" i="24"/>
  <c r="AQ70" i="24"/>
  <c r="AQ69" i="24"/>
  <c r="AQ68" i="24"/>
  <c r="AQ67" i="24"/>
  <c r="AQ66" i="24"/>
  <c r="AQ65" i="24"/>
  <c r="AQ64" i="24"/>
  <c r="AQ63" i="24"/>
  <c r="AQ62" i="24"/>
  <c r="AQ61" i="24"/>
  <c r="AQ60" i="24"/>
  <c r="AQ59" i="24"/>
  <c r="AQ58" i="24"/>
  <c r="AQ57" i="24"/>
  <c r="AQ56" i="24"/>
  <c r="AQ55" i="24"/>
  <c r="AQ54" i="24"/>
  <c r="AQ53" i="24"/>
  <c r="AQ52" i="24"/>
  <c r="AQ51" i="24"/>
  <c r="AQ50" i="24"/>
  <c r="AQ49" i="24"/>
  <c r="AQ48" i="24"/>
  <c r="AQ47" i="24"/>
  <c r="AQ46" i="24"/>
  <c r="AQ45" i="24"/>
  <c r="AQ44" i="24"/>
  <c r="AQ43" i="24"/>
  <c r="AQ42" i="24"/>
  <c r="AL81" i="24"/>
  <c r="AL80" i="24"/>
  <c r="AL79" i="24"/>
  <c r="AL78" i="24"/>
  <c r="AL77" i="24"/>
  <c r="AL76" i="24"/>
  <c r="AL75" i="24"/>
  <c r="AL74" i="24"/>
  <c r="AL73" i="24"/>
  <c r="AL72" i="24"/>
  <c r="AL71" i="24"/>
  <c r="AL70" i="24"/>
  <c r="AL69" i="24"/>
  <c r="AL68" i="24"/>
  <c r="AL67" i="24"/>
  <c r="AL66" i="24"/>
  <c r="AL65" i="24"/>
  <c r="AL64" i="24"/>
  <c r="AL63" i="24"/>
  <c r="AL62" i="24"/>
  <c r="AL61" i="24"/>
  <c r="AL60" i="24"/>
  <c r="AL59" i="24"/>
  <c r="AL58" i="24"/>
  <c r="AL57" i="24"/>
  <c r="AL56" i="24"/>
  <c r="AL55" i="24"/>
  <c r="AL54" i="24"/>
  <c r="AL53" i="24"/>
  <c r="AL52" i="24"/>
  <c r="AL51" i="24"/>
  <c r="AL50" i="24"/>
  <c r="AL49" i="24"/>
  <c r="AL48" i="24"/>
  <c r="AL47" i="24"/>
  <c r="AL46" i="24"/>
  <c r="AL45" i="24"/>
  <c r="AL44" i="24"/>
  <c r="AL43" i="24"/>
  <c r="AL42" i="24"/>
  <c r="CB6" i="22"/>
  <c r="CB7" i="22"/>
  <c r="CC7" i="22"/>
  <c r="CE7" i="22"/>
  <c r="CB8" i="22"/>
  <c r="CC8" i="22"/>
  <c r="CB9" i="22"/>
  <c r="CC9" i="22"/>
  <c r="CD9" i="22"/>
  <c r="CB12" i="22"/>
  <c r="CB13" i="22"/>
  <c r="CC13" i="22"/>
  <c r="CD13" i="22"/>
  <c r="CE13" i="22"/>
  <c r="CB18" i="22"/>
  <c r="CB87" i="22"/>
  <c r="CB89" i="22"/>
  <c r="CC89" i="22"/>
  <c r="CE89" i="22"/>
  <c r="CB90" i="22"/>
  <c r="CC90" i="22"/>
  <c r="CB91" i="22"/>
  <c r="CC91" i="22"/>
  <c r="CD91" i="22"/>
  <c r="CE91" i="22"/>
  <c r="CB93" i="22"/>
  <c r="CC93" i="22"/>
  <c r="CD93" i="22"/>
  <c r="CE93" i="22"/>
  <c r="CB94" i="22"/>
  <c r="CE94" i="22"/>
  <c r="CB97" i="22"/>
  <c r="CB98" i="22"/>
  <c r="CB99" i="22"/>
  <c r="CB100" i="22"/>
  <c r="CB101" i="22"/>
  <c r="CB102" i="22"/>
  <c r="CB103" i="22"/>
  <c r="CB104" i="22"/>
  <c r="CB105" i="22"/>
  <c r="CB106" i="22"/>
  <c r="CB107" i="22"/>
  <c r="CB108" i="22"/>
  <c r="CB110" i="22"/>
  <c r="CB111" i="22"/>
  <c r="CB112" i="22"/>
  <c r="CB113" i="22"/>
  <c r="CB114" i="22"/>
  <c r="CB115" i="22"/>
  <c r="CB116" i="22"/>
  <c r="CB117" i="22"/>
  <c r="CB118" i="22"/>
  <c r="CB119" i="22"/>
  <c r="CB120" i="22"/>
  <c r="CB121" i="22"/>
  <c r="CB122" i="22"/>
  <c r="CB124" i="22"/>
  <c r="CB125" i="22"/>
  <c r="CB126" i="22"/>
  <c r="CB127" i="22"/>
  <c r="CB128" i="22"/>
  <c r="CB129" i="22"/>
  <c r="CB130" i="22"/>
  <c r="CB132" i="22"/>
  <c r="CB133" i="22"/>
  <c r="CB134" i="22"/>
  <c r="CB135" i="22"/>
  <c r="CB136" i="22"/>
  <c r="CB137" i="22"/>
  <c r="CB138" i="22"/>
  <c r="H16" i="1"/>
  <c r="H15" i="1"/>
  <c r="CR29" i="22"/>
  <c r="CQ29" i="22"/>
  <c r="CR28" i="22"/>
  <c r="CQ28" i="22"/>
  <c r="CP28" i="22"/>
  <c r="CP29" i="22"/>
  <c r="J51" i="19"/>
  <c r="J52" i="19"/>
  <c r="J53" i="19"/>
  <c r="J54" i="19"/>
  <c r="J55" i="19"/>
  <c r="J56" i="19"/>
  <c r="J57" i="19"/>
  <c r="J58" i="19"/>
  <c r="J59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D22" i="19"/>
  <c r="D23" i="19"/>
  <c r="D24" i="19"/>
  <c r="D25" i="19"/>
  <c r="D26" i="19"/>
  <c r="A21" i="19"/>
  <c r="A22" i="19"/>
  <c r="A23" i="19"/>
  <c r="A24" i="19"/>
  <c r="A25" i="19"/>
  <c r="A26" i="19"/>
  <c r="A27" i="19"/>
  <c r="A28" i="19"/>
  <c r="A29" i="19"/>
  <c r="A30" i="19"/>
  <c r="A31" i="19"/>
  <c r="A32" i="19"/>
  <c r="A33" i="19"/>
  <c r="A34" i="19"/>
  <c r="D33" i="19"/>
  <c r="L3" i="19"/>
  <c r="C16" i="19"/>
  <c r="D16" i="19"/>
  <c r="C17" i="19"/>
  <c r="C18" i="19"/>
  <c r="C19" i="19"/>
  <c r="C20" i="19"/>
  <c r="C21" i="19"/>
  <c r="C22" i="19"/>
  <c r="C23" i="19"/>
  <c r="C24" i="19"/>
  <c r="C25" i="19"/>
  <c r="C26" i="19"/>
  <c r="C27" i="19"/>
  <c r="D27" i="19"/>
  <c r="C28" i="19"/>
  <c r="D28" i="19"/>
  <c r="C29" i="19"/>
  <c r="D29" i="19"/>
  <c r="C30" i="19"/>
  <c r="D30" i="19"/>
  <c r="C31" i="19"/>
  <c r="D31" i="19"/>
  <c r="C32" i="19"/>
  <c r="D32" i="19"/>
  <c r="C33" i="19"/>
  <c r="D39" i="19"/>
  <c r="D43" i="19"/>
  <c r="D45" i="19"/>
  <c r="D47" i="19"/>
  <c r="A50" i="19"/>
  <c r="D50" i="19"/>
  <c r="A51" i="19"/>
  <c r="D51" i="19"/>
  <c r="A52" i="19"/>
  <c r="D52" i="19"/>
  <c r="A53" i="19"/>
  <c r="D53" i="19"/>
  <c r="A54" i="19"/>
  <c r="D54" i="19"/>
  <c r="A55" i="19"/>
  <c r="D55" i="19"/>
  <c r="A56" i="19"/>
  <c r="D56" i="19"/>
  <c r="A57" i="19"/>
  <c r="D57" i="19"/>
  <c r="A58" i="19"/>
  <c r="D58" i="19"/>
  <c r="A59" i="19"/>
  <c r="D59" i="19"/>
  <c r="A60" i="19"/>
  <c r="D60" i="19"/>
  <c r="A61" i="19"/>
  <c r="E69" i="19"/>
  <c r="H70" i="19"/>
  <c r="I70" i="19"/>
  <c r="K70" i="19"/>
  <c r="AL154" i="22"/>
  <c r="AL158" i="22"/>
  <c r="AL160" i="22"/>
  <c r="AL162" i="22"/>
  <c r="AL164" i="22"/>
  <c r="AL166" i="22"/>
  <c r="AL168" i="22"/>
  <c r="AL170" i="22"/>
  <c r="AL172" i="22"/>
  <c r="AL174" i="22"/>
  <c r="AL177" i="22"/>
  <c r="AL179" i="22"/>
  <c r="AL183" i="22"/>
  <c r="AL187" i="22"/>
  <c r="AL191" i="22"/>
  <c r="AL155" i="22"/>
  <c r="AL176" i="22"/>
  <c r="AL182" i="22"/>
  <c r="AL186" i="22"/>
  <c r="AL190" i="22"/>
  <c r="AL152" i="22"/>
  <c r="AL156" i="22"/>
  <c r="AL159" i="22"/>
  <c r="AL161" i="22"/>
  <c r="AL163" i="22"/>
  <c r="AL165" i="22"/>
  <c r="AL167" i="22"/>
  <c r="AL169" i="22"/>
  <c r="AL171" i="22"/>
  <c r="AL173" i="22"/>
  <c r="AL175" i="22"/>
  <c r="AL178" i="22"/>
  <c r="AL181" i="22"/>
  <c r="AL185" i="22"/>
  <c r="AL192" i="22"/>
  <c r="AL157" i="22"/>
  <c r="AL180" i="22"/>
  <c r="AL184" i="22"/>
  <c r="AL153" i="22"/>
  <c r="AL188" i="22"/>
  <c r="AL189" i="22"/>
  <c r="K13" i="24"/>
  <c r="K14" i="24"/>
  <c r="Q83" i="22"/>
  <c r="K10" i="19"/>
  <c r="AJ10" i="24"/>
  <c r="J14" i="24" s="1"/>
  <c r="J13" i="24"/>
  <c r="J12" i="24"/>
  <c r="D2" i="23"/>
  <c r="D3" i="23" s="1"/>
  <c r="CD32" i="22"/>
  <c r="CD29" i="22"/>
  <c r="CD26" i="22"/>
  <c r="CD27" i="22"/>
  <c r="CD19" i="22"/>
  <c r="CD28" i="22"/>
  <c r="C487" i="23"/>
  <c r="C496" i="23"/>
  <c r="C498" i="23"/>
  <c r="CE19" i="22"/>
  <c r="CC28" i="22"/>
  <c r="C495" i="23"/>
  <c r="C488" i="23"/>
  <c r="CE28" i="22"/>
  <c r="CE26" i="22"/>
  <c r="CC27" i="22"/>
  <c r="CC26" i="22"/>
  <c r="CE29" i="22"/>
  <c r="CE32" i="22"/>
  <c r="CC32" i="22"/>
  <c r="CE27" i="22"/>
  <c r="CC29" i="22"/>
  <c r="C500" i="23"/>
  <c r="C492" i="23"/>
  <c r="C501" i="23"/>
  <c r="C502" i="23"/>
  <c r="C481" i="23"/>
  <c r="C497" i="23"/>
  <c r="C489" i="23"/>
  <c r="C503" i="23"/>
  <c r="C494" i="23"/>
  <c r="C485" i="23"/>
  <c r="C484" i="23"/>
  <c r="C506" i="23"/>
  <c r="CC19" i="22"/>
  <c r="C486" i="23"/>
  <c r="C491" i="23"/>
  <c r="C483" i="23"/>
  <c r="C504" i="23"/>
  <c r="C493" i="23"/>
  <c r="C482" i="23"/>
  <c r="C505" i="23"/>
  <c r="C490" i="23"/>
  <c r="C499" i="23"/>
  <c r="A17" i="19"/>
  <c r="CC18" i="22"/>
  <c r="CE18" i="22"/>
  <c r="AM144" i="22"/>
  <c r="I153" i="22" s="1"/>
  <c r="U10" i="24"/>
  <c r="J11" i="24" s="1"/>
  <c r="J10" i="24"/>
  <c r="D12" i="24"/>
  <c r="E12" i="24" s="1"/>
  <c r="R32" i="1" l="1"/>
  <c r="H42" i="22"/>
  <c r="H44" i="22" s="1"/>
  <c r="H54" i="22"/>
  <c r="H46" i="22"/>
  <c r="H51" i="22"/>
  <c r="L17" i="1"/>
  <c r="M17" i="1" s="1"/>
  <c r="J9" i="1"/>
  <c r="AA35" i="22"/>
  <c r="Q72" i="22"/>
  <c r="H48" i="22"/>
  <c r="AE153" i="22"/>
  <c r="AF153" i="22" s="1"/>
  <c r="O4" i="1"/>
  <c r="L19" i="1"/>
  <c r="CC115" i="22"/>
  <c r="CC108" i="22"/>
  <c r="CC101" i="22"/>
  <c r="CC122" i="22"/>
  <c r="CC119" i="22"/>
  <c r="CC118" i="22"/>
  <c r="CC103" i="22"/>
  <c r="CC114" i="22"/>
  <c r="CC105" i="22"/>
  <c r="CC120" i="22"/>
  <c r="CC99" i="22"/>
  <c r="CC104" i="22"/>
  <c r="CC117" i="22"/>
  <c r="CC111" i="22"/>
  <c r="CC112" i="22"/>
  <c r="CC121" i="22"/>
  <c r="CC98" i="22"/>
  <c r="CC100" i="22"/>
  <c r="CC113" i="22"/>
  <c r="CC107" i="22"/>
  <c r="D7" i="23"/>
  <c r="CC97" i="22"/>
  <c r="CC106" i="22"/>
  <c r="CC110" i="22"/>
  <c r="CC94" i="22"/>
  <c r="CC116" i="22"/>
  <c r="CC102" i="22"/>
  <c r="X12" i="22"/>
  <c r="D14" i="22" s="1"/>
  <c r="AJ170" i="22"/>
  <c r="J42" i="19"/>
  <c r="J40" i="19"/>
  <c r="J46" i="19"/>
  <c r="J41" i="19"/>
  <c r="AJ186" i="22"/>
  <c r="AJ177" i="22"/>
  <c r="AJ157" i="22"/>
  <c r="D2" i="25"/>
  <c r="E2" i="25"/>
  <c r="AJ181" i="22"/>
  <c r="AJ156" i="22"/>
  <c r="AJ158" i="22"/>
  <c r="AJ178" i="22"/>
  <c r="AJ173" i="22"/>
  <c r="AJ172" i="22"/>
  <c r="AJ184" i="22"/>
  <c r="AJ163" i="22"/>
  <c r="AJ164" i="22"/>
  <c r="AJ155" i="22"/>
  <c r="AJ162" i="22"/>
  <c r="AJ185" i="22"/>
  <c r="AJ190" i="22"/>
  <c r="AH152" i="22"/>
  <c r="G20" i="1"/>
  <c r="H20" i="1" s="1"/>
  <c r="CE9" i="22"/>
  <c r="AJ187" i="22"/>
  <c r="AJ152" i="22"/>
  <c r="AJ182" i="22"/>
  <c r="C2" i="25"/>
  <c r="AB152" i="22"/>
  <c r="J39" i="19"/>
  <c r="AC153" i="22"/>
  <c r="AC154" i="22" s="1"/>
  <c r="AC155" i="22" s="1"/>
  <c r="G479" i="23"/>
  <c r="D13" i="24"/>
  <c r="E13" i="24" s="1"/>
  <c r="AJ168" i="22"/>
  <c r="AJ191" i="22"/>
  <c r="AJ189" i="22"/>
  <c r="AJ188" i="22"/>
  <c r="AJ166" i="22"/>
  <c r="AJ159" i="22"/>
  <c r="AJ169" i="22"/>
  <c r="AJ192" i="22"/>
  <c r="AJ160" i="22"/>
  <c r="AJ180" i="22"/>
  <c r="AJ154" i="22"/>
  <c r="AJ171" i="22"/>
  <c r="AJ174" i="22"/>
  <c r="AJ179" i="22"/>
  <c r="AJ167" i="22"/>
  <c r="AJ176" i="22"/>
  <c r="AJ161" i="22"/>
  <c r="AJ175" i="22"/>
  <c r="AJ183" i="22"/>
  <c r="AJ165" i="22"/>
  <c r="AA153" i="22"/>
  <c r="J43" i="19"/>
  <c r="AD152" i="22"/>
  <c r="I154" i="22"/>
  <c r="X40" i="22"/>
  <c r="I155" i="22"/>
  <c r="J47" i="19"/>
  <c r="A46" i="19"/>
  <c r="J45" i="19"/>
  <c r="AG153" i="22"/>
  <c r="AH153" i="22" s="1"/>
  <c r="AF152" i="22"/>
  <c r="G10" i="19"/>
  <c r="H153" i="22"/>
  <c r="H154" i="22" s="1"/>
  <c r="H155" i="22" s="1"/>
  <c r="H156" i="22" s="1"/>
  <c r="H157" i="22" s="1"/>
  <c r="H158" i="22" s="1"/>
  <c r="H159" i="22" s="1"/>
  <c r="H160" i="22" s="1"/>
  <c r="H161" i="22" s="1"/>
  <c r="H162" i="22" s="1"/>
  <c r="H163" i="22" s="1"/>
  <c r="H164" i="22" s="1"/>
  <c r="H165" i="22" s="1"/>
  <c r="H166" i="22" s="1"/>
  <c r="H167" i="22" s="1"/>
  <c r="H168" i="22" s="1"/>
  <c r="H169" i="22" s="1"/>
  <c r="H170" i="22" s="1"/>
  <c r="H171" i="22" s="1"/>
  <c r="H172" i="22" s="1"/>
  <c r="H173" i="22" s="1"/>
  <c r="H174" i="22" s="1"/>
  <c r="H175" i="22" s="1"/>
  <c r="H176" i="22" s="1"/>
  <c r="H177" i="22" s="1"/>
  <c r="H178" i="22" s="1"/>
  <c r="H179" i="22" s="1"/>
  <c r="H180" i="22" s="1"/>
  <c r="H181" i="22" s="1"/>
  <c r="H182" i="22" s="1"/>
  <c r="H183" i="22" s="1"/>
  <c r="H184" i="22" s="1"/>
  <c r="H185" i="22" s="1"/>
  <c r="H186" i="22" s="1"/>
  <c r="H187" i="22" s="1"/>
  <c r="H188" i="22" s="1"/>
  <c r="H189" i="22" s="1"/>
  <c r="H190" i="22" s="1"/>
  <c r="H191" i="22" s="1"/>
  <c r="H192" i="22" s="1"/>
  <c r="AN144" i="22"/>
  <c r="S8" i="1"/>
  <c r="S6" i="1"/>
  <c r="C7" i="23"/>
  <c r="M8" i="22" s="1"/>
  <c r="E478" i="23"/>
  <c r="F7" i="23"/>
  <c r="I48" i="19"/>
  <c r="J48" i="19" s="1"/>
  <c r="E7" i="23"/>
  <c r="CD7" i="22"/>
  <c r="K9" i="19"/>
  <c r="X16" i="22" l="1"/>
  <c r="AB14" i="22"/>
  <c r="L48" i="22"/>
  <c r="L46" i="22"/>
  <c r="N46" i="22" s="1"/>
  <c r="L51" i="22"/>
  <c r="F91" i="22"/>
  <c r="L40" i="22"/>
  <c r="N40" i="22" s="1"/>
  <c r="O6" i="1"/>
  <c r="AE154" i="22"/>
  <c r="AF154" i="22" s="1"/>
  <c r="D14" i="24"/>
  <c r="AD154" i="22"/>
  <c r="E17" i="19"/>
  <c r="CD8" i="22"/>
  <c r="AM114" i="22"/>
  <c r="AQ114" i="22" s="1"/>
  <c r="J3" i="1"/>
  <c r="E16" i="19"/>
  <c r="E20" i="19"/>
  <c r="A19" i="19" s="1"/>
  <c r="AD153" i="22"/>
  <c r="AD155" i="22"/>
  <c r="AC156" i="22"/>
  <c r="AC157" i="22" s="1"/>
  <c r="M19" i="1"/>
  <c r="AG154" i="22"/>
  <c r="AG155" i="22" s="1"/>
  <c r="AB153" i="22"/>
  <c r="AA154" i="22"/>
  <c r="H17" i="19"/>
  <c r="B17" i="19" s="1"/>
  <c r="H17" i="1"/>
  <c r="H18" i="19"/>
  <c r="H16" i="19"/>
  <c r="D477" i="23"/>
  <c r="E27" i="22"/>
  <c r="E29" i="22" s="1"/>
  <c r="L88" i="22"/>
  <c r="D15" i="24"/>
  <c r="E14" i="24"/>
  <c r="H42" i="19"/>
  <c r="K42" i="19" s="1"/>
  <c r="L42" i="19" s="1"/>
  <c r="L66" i="22"/>
  <c r="H41" i="19" s="1"/>
  <c r="K41" i="19" s="1"/>
  <c r="L41" i="19" s="1"/>
  <c r="H39" i="19"/>
  <c r="K56" i="19"/>
  <c r="L56" i="19" s="1"/>
  <c r="B26" i="19"/>
  <c r="B25" i="19"/>
  <c r="B53" i="19"/>
  <c r="K51" i="19"/>
  <c r="L51" i="19" s="1"/>
  <c r="B54" i="19"/>
  <c r="K53" i="19"/>
  <c r="L53" i="19" s="1"/>
  <c r="B57" i="19"/>
  <c r="K32" i="19"/>
  <c r="L32" i="19" s="1"/>
  <c r="K52" i="19"/>
  <c r="L52" i="19" s="1"/>
  <c r="B60" i="19"/>
  <c r="B27" i="19"/>
  <c r="K27" i="19"/>
  <c r="L27" i="19" s="1"/>
  <c r="K29" i="19"/>
  <c r="L29" i="19" s="1"/>
  <c r="B24" i="19"/>
  <c r="B22" i="19"/>
  <c r="K28" i="19"/>
  <c r="L28" i="19" s="1"/>
  <c r="B51" i="19"/>
  <c r="K23" i="19"/>
  <c r="L23" i="19" s="1"/>
  <c r="B52" i="19"/>
  <c r="B33" i="19"/>
  <c r="K55" i="19"/>
  <c r="L55" i="19" s="1"/>
  <c r="B56" i="19"/>
  <c r="K59" i="19"/>
  <c r="L59" i="19" s="1"/>
  <c r="K22" i="19"/>
  <c r="L22" i="19" s="1"/>
  <c r="B31" i="19"/>
  <c r="K25" i="19"/>
  <c r="L25" i="19" s="1"/>
  <c r="B32" i="19"/>
  <c r="K31" i="19"/>
  <c r="L31" i="19" s="1"/>
  <c r="B29" i="19"/>
  <c r="K57" i="19"/>
  <c r="L57" i="19" s="1"/>
  <c r="B59" i="19"/>
  <c r="B55" i="19"/>
  <c r="K54" i="19"/>
  <c r="L54" i="19" s="1"/>
  <c r="K33" i="19"/>
  <c r="L33" i="19" s="1"/>
  <c r="B28" i="19"/>
  <c r="K24" i="19"/>
  <c r="L24" i="19" s="1"/>
  <c r="K26" i="19"/>
  <c r="L26" i="19" s="1"/>
  <c r="K58" i="19"/>
  <c r="L58" i="19" s="1"/>
  <c r="K30" i="19"/>
  <c r="L30" i="19" s="1"/>
  <c r="B23" i="19"/>
  <c r="B30" i="19"/>
  <c r="B58" i="19"/>
  <c r="D494" i="23"/>
  <c r="D505" i="23"/>
  <c r="D498" i="23"/>
  <c r="D519" i="23"/>
  <c r="D503" i="23"/>
  <c r="D486" i="23"/>
  <c r="D512" i="23"/>
  <c r="D517" i="23"/>
  <c r="D516" i="23"/>
  <c r="D510" i="23"/>
  <c r="D496" i="23"/>
  <c r="D497" i="23"/>
  <c r="D499" i="23"/>
  <c r="D490" i="23"/>
  <c r="D500" i="23"/>
  <c r="D483" i="23"/>
  <c r="D507" i="23"/>
  <c r="D515" i="23"/>
  <c r="D487" i="23"/>
  <c r="D511" i="23"/>
  <c r="D508" i="23"/>
  <c r="D501" i="23"/>
  <c r="D493" i="23"/>
  <c r="CE90" i="22"/>
  <c r="D488" i="23"/>
  <c r="D495" i="23"/>
  <c r="D518" i="23"/>
  <c r="D481" i="23"/>
  <c r="D506" i="23"/>
  <c r="D504" i="23"/>
  <c r="D514" i="23"/>
  <c r="D509" i="23"/>
  <c r="D482" i="23"/>
  <c r="D491" i="23"/>
  <c r="D520" i="23"/>
  <c r="D513" i="23"/>
  <c r="D489" i="23"/>
  <c r="D485" i="23"/>
  <c r="D502" i="23"/>
  <c r="D492" i="23"/>
  <c r="D484" i="23"/>
  <c r="A18" i="19"/>
  <c r="H19" i="19"/>
  <c r="N48" i="22" l="1"/>
  <c r="AA34" i="22"/>
  <c r="AE155" i="22"/>
  <c r="AE156" i="22" s="1"/>
  <c r="H40" i="19"/>
  <c r="K40" i="19" s="1"/>
  <c r="L40" i="19" s="1"/>
  <c r="L72" i="22"/>
  <c r="B16" i="19"/>
  <c r="CD89" i="22"/>
  <c r="AI114" i="22"/>
  <c r="AV114" i="22" s="1"/>
  <c r="CD106" i="22"/>
  <c r="CD117" i="22"/>
  <c r="CD127" i="22"/>
  <c r="CD101" i="22"/>
  <c r="CD121" i="22"/>
  <c r="CD107" i="22"/>
  <c r="CD130" i="22"/>
  <c r="CD126" i="22"/>
  <c r="CD94" i="22"/>
  <c r="CD128" i="22"/>
  <c r="CD98" i="22"/>
  <c r="CD113" i="22"/>
  <c r="CD135" i="22"/>
  <c r="CD137" i="22"/>
  <c r="CD118" i="22"/>
  <c r="CD138" i="22"/>
  <c r="CD132" i="22"/>
  <c r="CD136" i="22"/>
  <c r="CD108" i="22"/>
  <c r="CD102" i="22"/>
  <c r="CD116" i="22"/>
  <c r="CD112" i="22"/>
  <c r="CD129" i="22"/>
  <c r="CD114" i="22"/>
  <c r="CD100" i="22"/>
  <c r="CD120" i="22"/>
  <c r="CD111" i="22"/>
  <c r="CD133" i="22"/>
  <c r="CD105" i="22"/>
  <c r="CD99" i="22"/>
  <c r="CD104" i="22"/>
  <c r="CD97" i="22"/>
  <c r="CD122" i="22"/>
  <c r="CD103" i="22"/>
  <c r="CD125" i="22"/>
  <c r="CD124" i="22"/>
  <c r="CD115" i="22"/>
  <c r="CD134" i="22"/>
  <c r="CD119" i="22"/>
  <c r="CD110" i="22"/>
  <c r="A16" i="19"/>
  <c r="B18" i="19"/>
  <c r="AH154" i="22"/>
  <c r="AD156" i="22"/>
  <c r="BH115" i="22"/>
  <c r="AA155" i="22"/>
  <c r="AB154" i="22"/>
  <c r="H21" i="19"/>
  <c r="H49" i="19" s="1"/>
  <c r="E44" i="19"/>
  <c r="J44" i="19" s="1"/>
  <c r="D16" i="24"/>
  <c r="E15" i="24"/>
  <c r="AF155" i="22"/>
  <c r="AH155" i="22"/>
  <c r="AG156" i="22"/>
  <c r="B42" i="19"/>
  <c r="B41" i="19"/>
  <c r="B39" i="19"/>
  <c r="AD157" i="22"/>
  <c r="AC158" i="22"/>
  <c r="B19" i="19"/>
  <c r="B40" i="19" l="1"/>
  <c r="L81" i="22"/>
  <c r="H45" i="19" s="1"/>
  <c r="Y59" i="22"/>
  <c r="H43" i="19"/>
  <c r="B43" i="19" s="1"/>
  <c r="M39" i="19"/>
  <c r="K39" i="19" s="1"/>
  <c r="L39" i="19" s="1"/>
  <c r="M40" i="19"/>
  <c r="M41" i="19"/>
  <c r="M42" i="19"/>
  <c r="AB155" i="22"/>
  <c r="AA156" i="22"/>
  <c r="A44" i="19"/>
  <c r="H50" i="19"/>
  <c r="B21" i="19"/>
  <c r="D17" i="24"/>
  <c r="E16" i="24"/>
  <c r="AG157" i="22"/>
  <c r="AH156" i="22"/>
  <c r="AF156" i="22"/>
  <c r="AE157" i="22"/>
  <c r="AC159" i="22"/>
  <c r="AD158" i="22"/>
  <c r="B49" i="19"/>
  <c r="H20" i="19"/>
  <c r="H44" i="19" l="1"/>
  <c r="M44" i="19" s="1"/>
  <c r="R44" i="19" s="1"/>
  <c r="R42" i="19"/>
  <c r="AE66" i="22"/>
  <c r="R40" i="19"/>
  <c r="R39" i="19"/>
  <c r="L83" i="22"/>
  <c r="L85" i="22" s="1"/>
  <c r="H48" i="19" s="1"/>
  <c r="B48" i="19" s="1"/>
  <c r="M43" i="19"/>
  <c r="AE72" i="22" s="1"/>
  <c r="B50" i="19"/>
  <c r="K43" i="19"/>
  <c r="L43" i="19" s="1"/>
  <c r="AE62" i="22"/>
  <c r="AE64" i="22"/>
  <c r="R41" i="19"/>
  <c r="AE68" i="22"/>
  <c r="AA157" i="22"/>
  <c r="AB156" i="22"/>
  <c r="E17" i="24"/>
  <c r="D18" i="24"/>
  <c r="AF157" i="22"/>
  <c r="AE158" i="22"/>
  <c r="AG158" i="22"/>
  <c r="AH157" i="22"/>
  <c r="AD159" i="22"/>
  <c r="AC160" i="22"/>
  <c r="B45" i="19"/>
  <c r="M45" i="19"/>
  <c r="B20" i="19"/>
  <c r="K44" i="19" l="1"/>
  <c r="L44" i="19" s="1"/>
  <c r="AE74" i="22"/>
  <c r="B44" i="19"/>
  <c r="K45" i="19"/>
  <c r="L45" i="19" s="1"/>
  <c r="R43" i="19"/>
  <c r="M48" i="19"/>
  <c r="AB157" i="22"/>
  <c r="AA158" i="22"/>
  <c r="D19" i="24"/>
  <c r="E18" i="24"/>
  <c r="AG159" i="22"/>
  <c r="AH158" i="22"/>
  <c r="AE159" i="22"/>
  <c r="AF158" i="22"/>
  <c r="AE81" i="22"/>
  <c r="R45" i="19"/>
  <c r="AC161" i="22"/>
  <c r="AD160" i="22"/>
  <c r="K48" i="19" l="1"/>
  <c r="L48" i="19" s="1"/>
  <c r="R48" i="19"/>
  <c r="AE79" i="22"/>
  <c r="AA159" i="22"/>
  <c r="AB158" i="22"/>
  <c r="E19" i="24"/>
  <c r="D20" i="24"/>
  <c r="AE160" i="22"/>
  <c r="AF159" i="22"/>
  <c r="AH159" i="22"/>
  <c r="AG160" i="22"/>
  <c r="AD161" i="22"/>
  <c r="AC162" i="22"/>
  <c r="AB159" i="22" l="1"/>
  <c r="AA160" i="22"/>
  <c r="E20" i="24"/>
  <c r="D21" i="24"/>
  <c r="AH160" i="22"/>
  <c r="AG161" i="22"/>
  <c r="AF160" i="22"/>
  <c r="AE161" i="22"/>
  <c r="AD162" i="22"/>
  <c r="AC163" i="22"/>
  <c r="AA161" i="22" l="1"/>
  <c r="AB160" i="22"/>
  <c r="D22" i="24"/>
  <c r="E21" i="24"/>
  <c r="AG162" i="22"/>
  <c r="AH161" i="22"/>
  <c r="AE162" i="22"/>
  <c r="AF161" i="22"/>
  <c r="AC164" i="22"/>
  <c r="AD163" i="22"/>
  <c r="AA162" i="22" l="1"/>
  <c r="AB161" i="22"/>
  <c r="D23" i="24"/>
  <c r="E23" i="24" s="1"/>
  <c r="E22" i="24"/>
  <c r="AH162" i="22"/>
  <c r="AG163" i="22"/>
  <c r="AF162" i="22"/>
  <c r="AE163" i="22"/>
  <c r="AD164" i="22"/>
  <c r="AC165" i="22"/>
  <c r="AB162" i="22" l="1"/>
  <c r="AA163" i="22"/>
  <c r="AF163" i="22"/>
  <c r="AE164" i="22"/>
  <c r="AG164" i="22"/>
  <c r="AH163" i="22"/>
  <c r="AD165" i="22"/>
  <c r="AC166" i="22"/>
  <c r="AB163" i="22" l="1"/>
  <c r="AA164" i="22"/>
  <c r="AH164" i="22"/>
  <c r="AG165" i="22"/>
  <c r="AF164" i="22"/>
  <c r="AE165" i="22"/>
  <c r="AD166" i="22"/>
  <c r="AC167" i="22"/>
  <c r="AB164" i="22" l="1"/>
  <c r="AA165" i="22"/>
  <c r="AE166" i="22"/>
  <c r="AF165" i="22"/>
  <c r="AH165" i="22"/>
  <c r="AG166" i="22"/>
  <c r="AC168" i="22"/>
  <c r="AD167" i="22"/>
  <c r="AA166" i="22" l="1"/>
  <c r="AB165" i="22"/>
  <c r="AH166" i="22"/>
  <c r="AG167" i="22"/>
  <c r="AE167" i="22"/>
  <c r="AF166" i="22"/>
  <c r="AD168" i="22"/>
  <c r="AC169" i="22"/>
  <c r="AB166" i="22" l="1"/>
  <c r="AA167" i="22"/>
  <c r="AE168" i="22"/>
  <c r="AF167" i="22"/>
  <c r="AG168" i="22"/>
  <c r="AH167" i="22"/>
  <c r="AD169" i="22"/>
  <c r="AC170" i="22"/>
  <c r="AB167" i="22" l="1"/>
  <c r="AA168" i="22"/>
  <c r="AG169" i="22"/>
  <c r="AH168" i="22"/>
  <c r="AF168" i="22"/>
  <c r="AE169" i="22"/>
  <c r="AD170" i="22"/>
  <c r="AC171" i="22"/>
  <c r="AA169" i="22" l="1"/>
  <c r="AB168" i="22"/>
  <c r="AF169" i="22"/>
  <c r="AE170" i="22"/>
  <c r="AH169" i="22"/>
  <c r="AG170" i="22"/>
  <c r="AC172" i="22"/>
  <c r="AD171" i="22"/>
  <c r="AB169" i="22" l="1"/>
  <c r="AA170" i="22"/>
  <c r="AH170" i="22"/>
  <c r="AG171" i="22"/>
  <c r="AE171" i="22"/>
  <c r="AF170" i="22"/>
  <c r="AC173" i="22"/>
  <c r="AD172" i="22"/>
  <c r="AA171" i="22" l="1"/>
  <c r="AB170" i="22"/>
  <c r="AF171" i="22"/>
  <c r="AE172" i="22"/>
  <c r="AH171" i="22"/>
  <c r="AG172" i="22"/>
  <c r="AC174" i="22"/>
  <c r="AD173" i="22"/>
  <c r="AB171" i="22" l="1"/>
  <c r="AA172" i="22"/>
  <c r="AG173" i="22"/>
  <c r="AH172" i="22"/>
  <c r="AF172" i="22"/>
  <c r="AE173" i="22"/>
  <c r="AD174" i="22"/>
  <c r="AC175" i="22"/>
  <c r="AB172" i="22" l="1"/>
  <c r="AA173" i="22"/>
  <c r="AE174" i="22"/>
  <c r="AF173" i="22"/>
  <c r="AH173" i="22"/>
  <c r="AG174" i="22"/>
  <c r="AD175" i="22"/>
  <c r="AC176" i="22"/>
  <c r="AA174" i="22" l="1"/>
  <c r="AB173" i="22"/>
  <c r="AH174" i="22"/>
  <c r="AG175" i="22"/>
  <c r="AF174" i="22"/>
  <c r="AE175" i="22"/>
  <c r="AC177" i="22"/>
  <c r="AD176" i="22"/>
  <c r="AA175" i="22" l="1"/>
  <c r="AB174" i="22"/>
  <c r="AF175" i="22"/>
  <c r="AE176" i="22"/>
  <c r="AH175" i="22"/>
  <c r="AG176" i="22"/>
  <c r="AD177" i="22"/>
  <c r="AC178" i="22"/>
  <c r="AB175" i="22" l="1"/>
  <c r="AA176" i="22"/>
  <c r="AH176" i="22"/>
  <c r="AG177" i="22"/>
  <c r="AF176" i="22"/>
  <c r="AE177" i="22"/>
  <c r="AC179" i="22"/>
  <c r="AD178" i="22"/>
  <c r="AA177" i="22" l="1"/>
  <c r="AB176" i="22"/>
  <c r="AE178" i="22"/>
  <c r="AF177" i="22"/>
  <c r="AG178" i="22"/>
  <c r="AH177" i="22"/>
  <c r="AD179" i="22"/>
  <c r="AC180" i="22"/>
  <c r="AB177" i="22" l="1"/>
  <c r="AA178" i="22"/>
  <c r="AH178" i="22"/>
  <c r="AG179" i="22"/>
  <c r="AF178" i="22"/>
  <c r="AE179" i="22"/>
  <c r="AD180" i="22"/>
  <c r="AC181" i="22"/>
  <c r="AB178" i="22" l="1"/>
  <c r="AA179" i="22"/>
  <c r="AE180" i="22"/>
  <c r="AF179" i="22"/>
  <c r="AG180" i="22"/>
  <c r="AH179" i="22"/>
  <c r="AC182" i="22"/>
  <c r="AD181" i="22"/>
  <c r="AA180" i="22" l="1"/>
  <c r="AB179" i="22"/>
  <c r="AH180" i="22"/>
  <c r="AG181" i="22"/>
  <c r="AF180" i="22"/>
  <c r="AE181" i="22"/>
  <c r="AD182" i="22"/>
  <c r="AC183" i="22"/>
  <c r="AB180" i="22" l="1"/>
  <c r="AA181" i="22"/>
  <c r="AF181" i="22"/>
  <c r="AE182" i="22"/>
  <c r="AG182" i="22"/>
  <c r="AH181" i="22"/>
  <c r="AD183" i="22"/>
  <c r="AC184" i="22"/>
  <c r="AB181" i="22" l="1"/>
  <c r="AA182" i="22"/>
  <c r="AG183" i="22"/>
  <c r="AH182" i="22"/>
  <c r="AE183" i="22"/>
  <c r="AF182" i="22"/>
  <c r="AD184" i="22"/>
  <c r="AC185" i="22"/>
  <c r="AB182" i="22" l="1"/>
  <c r="AA183" i="22"/>
  <c r="AE184" i="22"/>
  <c r="AF183" i="22"/>
  <c r="AH183" i="22"/>
  <c r="AG184" i="22"/>
  <c r="AD185" i="22"/>
  <c r="AC186" i="22"/>
  <c r="AA184" i="22" l="1"/>
  <c r="AB183" i="22"/>
  <c r="AG185" i="22"/>
  <c r="AH184" i="22"/>
  <c r="AF184" i="22"/>
  <c r="AE185" i="22"/>
  <c r="AD186" i="22"/>
  <c r="AC187" i="22"/>
  <c r="AA185" i="22" l="1"/>
  <c r="AB184" i="22"/>
  <c r="AE186" i="22"/>
  <c r="AF185" i="22"/>
  <c r="AH185" i="22"/>
  <c r="AG186" i="22"/>
  <c r="AD187" i="22"/>
  <c r="AC188" i="22"/>
  <c r="AA186" i="22" l="1"/>
  <c r="AB185" i="22"/>
  <c r="AG187" i="22"/>
  <c r="AH186" i="22"/>
  <c r="AF186" i="22"/>
  <c r="AE187" i="22"/>
  <c r="AD188" i="22"/>
  <c r="AC189" i="22"/>
  <c r="AA187" i="22" l="1"/>
  <c r="AB186" i="22"/>
  <c r="AF187" i="22"/>
  <c r="AE188" i="22"/>
  <c r="AG188" i="22"/>
  <c r="AH187" i="22"/>
  <c r="AC190" i="22"/>
  <c r="AD189" i="22"/>
  <c r="AA188" i="22" l="1"/>
  <c r="AB187" i="22"/>
  <c r="AH188" i="22"/>
  <c r="AG189" i="22"/>
  <c r="AE189" i="22"/>
  <c r="AF188" i="22"/>
  <c r="AC191" i="22"/>
  <c r="AD190" i="22"/>
  <c r="AA189" i="22" l="1"/>
  <c r="AB188" i="22"/>
  <c r="AE190" i="22"/>
  <c r="AF189" i="22"/>
  <c r="AH189" i="22"/>
  <c r="AG190" i="22"/>
  <c r="AC192" i="22"/>
  <c r="AD192" i="22" s="1"/>
  <c r="AD191" i="22"/>
  <c r="AB189" i="22" l="1"/>
  <c r="AA190" i="22"/>
  <c r="AG191" i="22"/>
  <c r="AH190" i="22"/>
  <c r="AF190" i="22"/>
  <c r="AE191" i="22"/>
  <c r="AA191" i="22" l="1"/>
  <c r="AB190" i="22"/>
  <c r="AF191" i="22"/>
  <c r="AE192" i="22"/>
  <c r="AH191" i="22"/>
  <c r="AG192" i="22"/>
  <c r="AB191" i="22" l="1"/>
  <c r="AA192" i="22"/>
  <c r="Q155" i="22" s="1"/>
  <c r="AF192" i="22"/>
  <c r="AH192" i="22"/>
  <c r="L173" i="22" l="1"/>
  <c r="L155" i="22"/>
  <c r="M155" i="22" s="1"/>
  <c r="L158" i="22"/>
  <c r="L176" i="22"/>
  <c r="L163" i="22"/>
  <c r="L186" i="22"/>
  <c r="L192" i="22"/>
  <c r="L180" i="22"/>
  <c r="L185" i="22"/>
  <c r="L172" i="22"/>
  <c r="L159" i="22"/>
  <c r="L161" i="22"/>
  <c r="L171" i="22"/>
  <c r="L164" i="22"/>
  <c r="L182" i="22"/>
  <c r="L191" i="22"/>
  <c r="L154" i="22"/>
  <c r="M154" i="22" s="1"/>
  <c r="Q154" i="22"/>
  <c r="L188" i="22"/>
  <c r="Q153" i="22"/>
  <c r="L190" i="22"/>
  <c r="L162" i="22"/>
  <c r="L183" i="22"/>
  <c r="L189" i="22"/>
  <c r="L179" i="22"/>
  <c r="L167" i="22"/>
  <c r="L153" i="22"/>
  <c r="M153" i="22" s="1"/>
  <c r="L170" i="22"/>
  <c r="L157" i="22"/>
  <c r="L178" i="22"/>
  <c r="L169" i="22"/>
  <c r="L187" i="22"/>
  <c r="L175" i="22"/>
  <c r="L177" i="22"/>
  <c r="L165" i="22"/>
  <c r="L166" i="22"/>
  <c r="L168" i="22"/>
  <c r="L181" i="22"/>
  <c r="L174" i="22"/>
  <c r="L184" i="22"/>
  <c r="L156" i="22"/>
  <c r="AB192" i="22"/>
  <c r="L160" i="22"/>
  <c r="AB72" i="22" l="1"/>
  <c r="L42" i="22"/>
  <c r="L44" i="22"/>
  <c r="N44" i="22" s="1"/>
  <c r="N51" i="22"/>
  <c r="J11" i="1"/>
  <c r="J17" i="1" s="1"/>
  <c r="M20" i="22" s="1"/>
  <c r="U51" i="22"/>
  <c r="Y51" i="22"/>
  <c r="I17" i="19" l="1"/>
  <c r="K17" i="19" s="1"/>
  <c r="L17" i="19" s="1"/>
  <c r="N42" i="22"/>
  <c r="L54" i="22" s="1"/>
  <c r="N54" i="22" s="1"/>
  <c r="M26" i="22"/>
  <c r="M28" i="22" s="1"/>
  <c r="M6" i="22"/>
  <c r="I19" i="19"/>
  <c r="X39" i="22"/>
  <c r="I16" i="19"/>
  <c r="I20" i="19"/>
  <c r="I18" i="19"/>
  <c r="M18" i="19" s="1"/>
  <c r="M17" i="19" l="1"/>
  <c r="AB42" i="22" s="1"/>
  <c r="J17" i="19"/>
  <c r="W38" i="22"/>
  <c r="Y39" i="22" s="1"/>
  <c r="W39" i="22"/>
  <c r="Y42" i="22" s="1"/>
  <c r="W43" i="22"/>
  <c r="X43" i="22" s="1"/>
  <c r="X44" i="22" s="1"/>
  <c r="W40" i="22"/>
  <c r="W41" i="22" s="1"/>
  <c r="N75" i="22"/>
  <c r="H75" i="22" s="1"/>
  <c r="J16" i="19"/>
  <c r="M16" i="19"/>
  <c r="AB40" i="22" s="1"/>
  <c r="J19" i="19"/>
  <c r="M19" i="19"/>
  <c r="AB48" i="22" s="1"/>
  <c r="K19" i="19"/>
  <c r="L19" i="19" s="1"/>
  <c r="N88" i="22"/>
  <c r="J25" i="1"/>
  <c r="O10" i="1"/>
  <c r="J18" i="19"/>
  <c r="K18" i="19"/>
  <c r="L18" i="19" s="1"/>
  <c r="AB44" i="22"/>
  <c r="K20" i="19"/>
  <c r="L20" i="19" s="1"/>
  <c r="J20" i="19"/>
  <c r="M20" i="19"/>
  <c r="N56" i="22" l="1"/>
  <c r="AA91" i="22" s="1"/>
  <c r="K16" i="19"/>
  <c r="L16" i="19" s="1"/>
  <c r="I49" i="19"/>
  <c r="J49" i="19" s="1"/>
  <c r="Y44" i="22"/>
  <c r="Y47" i="22" s="1"/>
  <c r="BP16" i="22"/>
  <c r="AB51" i="22"/>
  <c r="X41" i="22"/>
  <c r="I21" i="19"/>
  <c r="Q66" i="22"/>
  <c r="M49" i="19" l="1"/>
  <c r="AE88" i="22" s="1"/>
  <c r="K49" i="19"/>
  <c r="L49" i="19" s="1"/>
  <c r="K21" i="19"/>
  <c r="L21" i="19" s="1"/>
  <c r="L34" i="19" s="1"/>
  <c r="J82" i="19" s="1"/>
  <c r="J21" i="19"/>
  <c r="M21" i="19"/>
  <c r="AA88" i="22" l="1"/>
  <c r="R49" i="19"/>
  <c r="AB54" i="22"/>
  <c r="AB56" i="22" s="1"/>
  <c r="M34" i="19"/>
  <c r="J81" i="19"/>
  <c r="J83" i="19" s="1"/>
  <c r="J34" i="19"/>
  <c r="I11" i="19" l="1"/>
  <c r="I85" i="19"/>
  <c r="G87" i="19"/>
  <c r="Q32" i="24" l="1"/>
  <c r="Q18" i="24"/>
  <c r="Q39" i="24"/>
  <c r="Q68" i="24"/>
  <c r="Q24" i="24"/>
  <c r="Q27" i="24"/>
  <c r="Q137" i="24"/>
  <c r="Q61" i="24"/>
  <c r="Q71" i="24"/>
  <c r="Q70" i="24"/>
  <c r="Q125" i="24"/>
  <c r="Q112" i="24"/>
  <c r="Q81" i="24"/>
  <c r="Q120" i="24"/>
  <c r="Q133" i="24"/>
  <c r="Q88" i="24"/>
  <c r="Q95" i="24"/>
  <c r="Q92" i="24"/>
  <c r="Q101" i="24"/>
  <c r="Q121" i="24"/>
  <c r="Q106" i="24"/>
  <c r="Q107" i="24"/>
  <c r="Q63" i="24"/>
  <c r="Q58" i="24"/>
  <c r="Q38" i="24"/>
  <c r="Q31" i="24"/>
  <c r="Q76" i="24"/>
  <c r="Q134" i="24"/>
  <c r="Q64" i="24"/>
  <c r="Q22" i="24"/>
  <c r="Q69" i="24"/>
  <c r="Q23" i="24"/>
  <c r="Q77" i="24"/>
  <c r="Q37" i="24"/>
  <c r="Q114" i="24"/>
  <c r="Q109" i="24"/>
  <c r="Q99" i="24"/>
  <c r="Q90" i="24"/>
  <c r="Q128" i="24"/>
  <c r="Q93" i="24"/>
  <c r="Q111" i="24"/>
  <c r="Q102" i="24"/>
  <c r="Q78" i="24"/>
  <c r="Q104" i="24"/>
  <c r="Q82" i="24"/>
  <c r="Q117" i="24"/>
  <c r="Q85" i="24"/>
  <c r="Q119" i="24"/>
  <c r="Q98" i="24"/>
  <c r="Q118" i="24"/>
  <c r="Q108" i="24"/>
  <c r="Q25" i="24"/>
  <c r="Q33" i="24"/>
  <c r="Q30" i="24"/>
  <c r="Q139" i="24"/>
  <c r="Q59" i="24"/>
  <c r="Q40" i="24"/>
  <c r="Q136" i="24"/>
  <c r="Q17" i="24"/>
  <c r="Q67" i="24"/>
  <c r="Q138" i="24"/>
  <c r="Q62" i="24"/>
  <c r="Q35" i="24"/>
  <c r="Q29" i="24"/>
  <c r="Q36" i="24"/>
  <c r="Q73" i="24"/>
  <c r="Q34" i="24"/>
  <c r="Q96" i="24"/>
  <c r="Q91" i="24"/>
  <c r="Q79" i="24"/>
  <c r="Q115" i="24"/>
  <c r="Q127" i="24"/>
  <c r="Q80" i="24"/>
  <c r="Q130" i="24"/>
  <c r="Q122" i="24"/>
  <c r="Q132" i="24"/>
  <c r="Q103" i="24"/>
  <c r="Q97" i="24"/>
  <c r="Q57" i="24"/>
  <c r="Q66" i="24"/>
  <c r="Q83" i="24"/>
  <c r="Q123" i="24"/>
  <c r="Q116" i="24"/>
  <c r="Q100" i="24"/>
  <c r="Q126" i="24"/>
  <c r="Q28" i="24"/>
  <c r="Q75" i="24"/>
  <c r="Q124" i="24"/>
  <c r="Q113" i="24"/>
  <c r="Q19" i="24"/>
  <c r="Q141" i="24"/>
  <c r="Q65" i="24"/>
  <c r="Q56" i="24"/>
  <c r="Q129" i="24"/>
  <c r="Q86" i="24"/>
  <c r="Q72" i="24"/>
  <c r="Q140" i="24"/>
  <c r="Q135" i="24"/>
  <c r="Q131" i="24"/>
  <c r="Q20" i="24"/>
  <c r="Q21" i="24"/>
  <c r="Q26" i="24"/>
  <c r="Q60" i="24"/>
  <c r="Q105" i="24"/>
  <c r="Q110" i="24"/>
  <c r="Q84" i="24"/>
  <c r="Q89" i="24"/>
  <c r="Q94" i="24"/>
  <c r="Q41" i="24"/>
  <c r="Q74" i="24"/>
  <c r="Q87" i="24"/>
  <c r="Q46" i="24"/>
  <c r="C511" i="23" s="1"/>
  <c r="Q43" i="24"/>
  <c r="C508" i="23" s="1"/>
  <c r="Q44" i="24"/>
  <c r="C509" i="23" s="1"/>
  <c r="Q53" i="24"/>
  <c r="C518" i="23" s="1"/>
  <c r="Q55" i="24"/>
  <c r="C520" i="23" s="1"/>
  <c r="Q49" i="24"/>
  <c r="C514" i="23" s="1"/>
  <c r="Q52" i="24"/>
  <c r="C517" i="23" s="1"/>
  <c r="Q50" i="24"/>
  <c r="C515" i="23" s="1"/>
  <c r="Q47" i="24"/>
  <c r="C512" i="23" s="1"/>
  <c r="Q51" i="24"/>
  <c r="C516" i="23" s="1"/>
  <c r="Q48" i="24"/>
  <c r="C513" i="23" s="1"/>
  <c r="Q54" i="24"/>
  <c r="C519" i="23" s="1"/>
  <c r="Q42" i="24"/>
  <c r="C507" i="23" s="1"/>
  <c r="Q45" i="24"/>
  <c r="C510" i="23" s="1"/>
  <c r="CC133" i="22" l="1"/>
  <c r="CC137" i="22"/>
  <c r="CC135" i="22"/>
  <c r="CC127" i="22"/>
  <c r="CC134" i="22"/>
  <c r="CC132" i="22"/>
  <c r="CC125" i="22"/>
  <c r="CC136" i="22"/>
  <c r="CC130" i="22"/>
  <c r="CC126" i="22"/>
  <c r="CC129" i="22"/>
  <c r="CC138" i="22"/>
  <c r="CC128" i="22"/>
  <c r="CC124" i="22"/>
  <c r="P41" i="19"/>
  <c r="Y66" i="22" l="1"/>
  <c r="M61" i="19" l="1"/>
  <c r="J61" i="19"/>
  <c r="I156" i="22" l="1"/>
  <c r="Q44" i="19"/>
  <c r="P44" i="19" s="1"/>
  <c r="Y74" i="22" s="1"/>
  <c r="Q49" i="19"/>
  <c r="P49" i="19" s="1"/>
  <c r="Q43" i="19"/>
  <c r="P43" i="19" s="1"/>
  <c r="Y72" i="22" s="1"/>
  <c r="Q40" i="19"/>
  <c r="P40" i="19" s="1"/>
  <c r="Y64" i="22" s="1"/>
  <c r="Q48" i="19"/>
  <c r="P48" i="19" s="1"/>
  <c r="Q41" i="19"/>
  <c r="Q42" i="19"/>
  <c r="P42" i="19" s="1"/>
  <c r="Y68" i="22" s="1"/>
  <c r="Q45" i="19"/>
  <c r="P45" i="19" s="1"/>
  <c r="Y81" i="22" s="1"/>
  <c r="Q39" i="19"/>
  <c r="P39" i="19" s="1"/>
  <c r="Y62" i="22" s="1"/>
  <c r="J87" i="19"/>
  <c r="L87" i="19" s="1"/>
  <c r="M87" i="19" s="1"/>
  <c r="M85" i="19"/>
  <c r="P34" i="19"/>
  <c r="J67" i="19"/>
  <c r="G67" i="19"/>
  <c r="J69" i="19"/>
  <c r="J68" i="19"/>
  <c r="G69" i="19"/>
  <c r="G68" i="19"/>
  <c r="M156" i="22" l="1"/>
  <c r="Q156" i="22"/>
  <c r="L68" i="19"/>
  <c r="M68" i="19" s="1"/>
  <c r="L67" i="19"/>
  <c r="J70" i="19"/>
  <c r="L69" i="19"/>
  <c r="M69" i="19" s="1"/>
  <c r="G70" i="19"/>
  <c r="L70" i="19" l="1"/>
  <c r="M67" i="19"/>
  <c r="M70" i="19" s="1"/>
  <c r="AE91" i="22" l="1"/>
  <c r="L61" i="19"/>
  <c r="M82" i="19" s="1"/>
  <c r="R61" i="19" l="1"/>
  <c r="R62" i="19" s="1"/>
  <c r="Q62" i="19" s="1"/>
  <c r="J77" i="22"/>
  <c r="AN88" i="22" s="1"/>
  <c r="H46" i="19"/>
  <c r="B46" i="19" s="1"/>
  <c r="M46" i="19" l="1"/>
  <c r="K46" i="19" s="1"/>
  <c r="L46" i="19" s="1"/>
  <c r="L79" i="22"/>
  <c r="AE77" i="22" l="1"/>
  <c r="AE83" i="22"/>
  <c r="Q46" i="19"/>
  <c r="P46" i="19" s="1"/>
  <c r="R46" i="19"/>
  <c r="Q79" i="22"/>
  <c r="H47" i="19"/>
  <c r="Y83" i="22" l="1"/>
  <c r="Y77" i="22"/>
  <c r="K47" i="19"/>
  <c r="L47" i="19" s="1"/>
  <c r="M47" i="19"/>
  <c r="B47" i="19"/>
  <c r="AE85" i="22" l="1"/>
  <c r="R47" i="19"/>
  <c r="Q47" i="19"/>
  <c r="P47" i="19" s="1"/>
  <c r="Y85" i="22" l="1"/>
  <c r="Y79" i="22"/>
  <c r="CD18" i="22" l="1"/>
  <c r="Q16" i="24" l="1"/>
  <c r="M22" i="22"/>
  <c r="M24" i="22" s="1"/>
  <c r="M31" i="22" s="1"/>
  <c r="S89" i="22" s="1"/>
  <c r="N89" i="22" l="1"/>
  <c r="R23" i="22"/>
  <c r="R22" i="22"/>
  <c r="N91" i="22" l="1"/>
  <c r="F93" i="22"/>
  <c r="D114" i="22"/>
  <c r="G114" i="22"/>
  <c r="I50" i="19"/>
  <c r="D478" i="23" l="1"/>
  <c r="I114" i="22"/>
  <c r="M114" i="22" s="1"/>
  <c r="K128" i="22"/>
  <c r="G128" i="22" s="1"/>
  <c r="J50" i="19"/>
  <c r="M81" i="19" s="1"/>
  <c r="M83" i="19" s="1"/>
  <c r="M50" i="19"/>
  <c r="K50" i="19"/>
  <c r="L50" i="19" s="1"/>
  <c r="Q91" i="22"/>
  <c r="R91" i="22" s="1"/>
  <c r="J92" i="22"/>
  <c r="Q74" i="22" s="1"/>
  <c r="E495" i="23" l="1"/>
  <c r="E493" i="23"/>
  <c r="E517" i="23"/>
  <c r="E503" i="23"/>
  <c r="E489" i="23"/>
  <c r="E490" i="23"/>
  <c r="E518" i="23"/>
  <c r="E491" i="23"/>
  <c r="E510" i="23"/>
  <c r="E504" i="23"/>
  <c r="E496" i="23"/>
  <c r="E497" i="23"/>
  <c r="E507" i="23"/>
  <c r="E514" i="23"/>
  <c r="E520" i="23"/>
  <c r="E509" i="23"/>
  <c r="E516" i="23"/>
  <c r="E513" i="23"/>
  <c r="E502" i="23"/>
  <c r="E508" i="23"/>
  <c r="E515" i="23"/>
  <c r="E492" i="23"/>
  <c r="E487" i="23"/>
  <c r="E486" i="23"/>
  <c r="E506" i="23"/>
  <c r="E511" i="23"/>
  <c r="E498" i="23"/>
  <c r="E488" i="23"/>
  <c r="E499" i="23"/>
  <c r="E494" i="23"/>
  <c r="E484" i="23"/>
  <c r="CE99" i="22" s="1"/>
  <c r="E519" i="23"/>
  <c r="E512" i="23"/>
  <c r="E500" i="23"/>
  <c r="E485" i="23"/>
  <c r="E501" i="23"/>
  <c r="E505" i="23"/>
  <c r="AE89" i="22"/>
  <c r="Q50" i="19"/>
  <c r="P50" i="19" s="1"/>
  <c r="Y89" i="22" s="1"/>
  <c r="CD90" i="22"/>
  <c r="E482" i="23"/>
  <c r="E483" i="23"/>
  <c r="CE98" i="22" s="1"/>
  <c r="CE100" i="22" l="1"/>
  <c r="I157" i="22"/>
  <c r="Q157" i="22" s="1"/>
  <c r="CE114" i="22"/>
  <c r="I170" i="22"/>
  <c r="I192" i="22"/>
  <c r="CE138" i="22"/>
  <c r="I190" i="22"/>
  <c r="CE136" i="22"/>
  <c r="I172" i="22"/>
  <c r="CE116" i="22"/>
  <c r="I166" i="22"/>
  <c r="CE110" i="22"/>
  <c r="I183" i="22"/>
  <c r="CE128" i="22"/>
  <c r="CE107" i="22"/>
  <c r="I164" i="22"/>
  <c r="CE130" i="22"/>
  <c r="I185" i="22"/>
  <c r="I186" i="22"/>
  <c r="CE132" i="22"/>
  <c r="CE120" i="22"/>
  <c r="I176" i="22"/>
  <c r="I162" i="22"/>
  <c r="CE105" i="22"/>
  <c r="CE108" i="22"/>
  <c r="I165" i="22"/>
  <c r="I173" i="22"/>
  <c r="CE117" i="22"/>
  <c r="I191" i="22"/>
  <c r="CE137" i="22"/>
  <c r="CE103" i="22"/>
  <c r="I160" i="22"/>
  <c r="I158" i="22"/>
  <c r="CE101" i="22"/>
  <c r="CE125" i="22"/>
  <c r="I180" i="22"/>
  <c r="I181" i="22"/>
  <c r="CE126" i="22"/>
  <c r="CE113" i="22"/>
  <c r="I169" i="22"/>
  <c r="I163" i="22"/>
  <c r="CE106" i="22"/>
  <c r="CE119" i="22"/>
  <c r="I175" i="22"/>
  <c r="CE102" i="22"/>
  <c r="I159" i="22"/>
  <c r="CE118" i="22"/>
  <c r="I174" i="22"/>
  <c r="CE112" i="22"/>
  <c r="I168" i="22"/>
  <c r="I189" i="22"/>
  <c r="CE135" i="22"/>
  <c r="I177" i="22"/>
  <c r="CE121" i="22"/>
  <c r="I184" i="22"/>
  <c r="CE129" i="22"/>
  <c r="CE115" i="22"/>
  <c r="I171" i="22"/>
  <c r="I178" i="22"/>
  <c r="CE122" i="22"/>
  <c r="I187" i="22"/>
  <c r="CE133" i="22"/>
  <c r="CE134" i="22"/>
  <c r="I188" i="22"/>
  <c r="CE124" i="22"/>
  <c r="I179" i="22"/>
  <c r="CE127" i="22"/>
  <c r="I182" i="22"/>
  <c r="CE104" i="22"/>
  <c r="I161" i="22"/>
  <c r="I167" i="22"/>
  <c r="CE111" i="22"/>
  <c r="CE97" i="22"/>
  <c r="BB115" i="22"/>
  <c r="BE115" i="22" s="1"/>
  <c r="M175" i="22" l="1"/>
  <c r="Q175" i="22"/>
  <c r="M164" i="22"/>
  <c r="Q164" i="22"/>
  <c r="M170" i="22"/>
  <c r="Q170" i="22"/>
  <c r="M184" i="22"/>
  <c r="Q184" i="22"/>
  <c r="M173" i="22"/>
  <c r="Q173" i="22"/>
  <c r="M186" i="22"/>
  <c r="Q186" i="22"/>
  <c r="M166" i="22"/>
  <c r="Q166" i="22"/>
  <c r="M190" i="22"/>
  <c r="Q190" i="22"/>
  <c r="M176" i="22"/>
  <c r="Q176" i="22"/>
  <c r="M174" i="22"/>
  <c r="Q174" i="22"/>
  <c r="M167" i="22"/>
  <c r="Q167" i="22"/>
  <c r="M178" i="22"/>
  <c r="Q178" i="22"/>
  <c r="M189" i="22"/>
  <c r="Q189" i="22"/>
  <c r="M162" i="22"/>
  <c r="Q162" i="22"/>
  <c r="M165" i="22"/>
  <c r="Q165" i="22"/>
  <c r="M187" i="22"/>
  <c r="Q187" i="22"/>
  <c r="M177" i="22"/>
  <c r="Q177" i="22"/>
  <c r="M163" i="22"/>
  <c r="Q163" i="22"/>
  <c r="M181" i="22"/>
  <c r="Q181" i="22"/>
  <c r="M158" i="22"/>
  <c r="Q158" i="22"/>
  <c r="M191" i="22"/>
  <c r="Q191" i="22"/>
  <c r="M183" i="22"/>
  <c r="Q183" i="22"/>
  <c r="M172" i="22"/>
  <c r="Q172" i="22"/>
  <c r="M192" i="22"/>
  <c r="Q192" i="22"/>
  <c r="Q182" i="22"/>
  <c r="M182" i="22"/>
  <c r="Q169" i="22"/>
  <c r="M169" i="22"/>
  <c r="Q160" i="22"/>
  <c r="M160" i="22"/>
  <c r="Q161" i="22"/>
  <c r="M161" i="22"/>
  <c r="Q179" i="22"/>
  <c r="M179" i="22"/>
  <c r="Q171" i="22"/>
  <c r="M171" i="22"/>
  <c r="Q168" i="22"/>
  <c r="M168" i="22"/>
  <c r="Q159" i="22"/>
  <c r="M159" i="22"/>
  <c r="Q185" i="22"/>
  <c r="M185" i="22"/>
  <c r="M157" i="22"/>
  <c r="AF127" i="22"/>
  <c r="Q188" i="22"/>
  <c r="M188" i="22"/>
  <c r="Q180" i="22"/>
  <c r="M180" i="22"/>
  <c r="AP127" i="22" l="1"/>
  <c r="AK127" i="22"/>
</calcChain>
</file>

<file path=xl/comments1.xml><?xml version="1.0" encoding="utf-8"?>
<comments xmlns="http://schemas.openxmlformats.org/spreadsheetml/2006/main">
  <authors>
    <author>Matheus Aragão</author>
  </authors>
  <commentList>
    <comment ref="E8" authorId="0" shapeId="0">
      <text>
        <r>
          <rPr>
            <b/>
            <sz val="9"/>
            <color indexed="81"/>
            <rFont val="Segoe UI"/>
            <family val="2"/>
          </rPr>
          <t>Matheus Aragão:</t>
        </r>
        <r>
          <rPr>
            <sz val="9"/>
            <color indexed="81"/>
            <rFont val="Segoe UI"/>
            <family val="2"/>
          </rPr>
          <t xml:space="preserve">
Atualizado em 05/08/2019
</t>
        </r>
      </text>
    </comment>
  </commentList>
</comments>
</file>

<file path=xl/comments2.xml><?xml version="1.0" encoding="utf-8"?>
<comments xmlns="http://schemas.openxmlformats.org/spreadsheetml/2006/main">
  <authors>
    <author>João Pereira</author>
  </authors>
  <commentList>
    <comment ref="B9" authorId="0" shapeId="0">
      <text>
        <r>
          <rPr>
            <b/>
            <sz val="9"/>
            <color indexed="81"/>
            <rFont val="Segoe UI"/>
            <family val="2"/>
          </rPr>
          <t>João Pereira:</t>
        </r>
        <r>
          <rPr>
            <sz val="9"/>
            <color indexed="81"/>
            <rFont val="Segoe UI"/>
            <family val="2"/>
          </rPr>
          <t xml:space="preserve">
mudei de 5 para 3
</t>
        </r>
      </text>
    </comment>
  </commentList>
</comments>
</file>

<file path=xl/comments3.xml><?xml version="1.0" encoding="utf-8"?>
<comments xmlns="http://schemas.openxmlformats.org/spreadsheetml/2006/main">
  <authors>
    <author>Nei Ferreira</author>
  </authors>
  <commentList>
    <comment ref="X15" authorId="0" shapeId="0">
      <text>
        <r>
          <rPr>
            <b/>
            <sz val="8"/>
            <color indexed="81"/>
            <rFont val="Tahoma"/>
            <family val="2"/>
          </rPr>
          <t>Nei Ferreira:</t>
        </r>
        <r>
          <rPr>
            <sz val="8"/>
            <color indexed="81"/>
            <rFont val="Tahoma"/>
            <family val="2"/>
          </rPr>
          <t xml:space="preserve">
Diminuir 1 mês, todo mês</t>
        </r>
      </text>
    </comment>
  </commentList>
</comments>
</file>

<file path=xl/sharedStrings.xml><?xml version="1.0" encoding="utf-8"?>
<sst xmlns="http://schemas.openxmlformats.org/spreadsheetml/2006/main" count="1242" uniqueCount="772">
  <si>
    <t>Renda Familiar</t>
  </si>
  <si>
    <t>Subsídio</t>
  </si>
  <si>
    <r>
      <t xml:space="preserve">Juros Nominal </t>
    </r>
    <r>
      <rPr>
        <sz val="8"/>
        <rFont val="Arial"/>
        <family val="2"/>
      </rPr>
      <t>(a.a.)</t>
    </r>
  </si>
  <si>
    <t>Comissão</t>
  </si>
  <si>
    <t>Valor Máximo do Imóvel</t>
  </si>
  <si>
    <t>Subsídio Máximo</t>
  </si>
  <si>
    <t>Comprometimento de Renda</t>
  </si>
  <si>
    <t>PREMISSAS</t>
  </si>
  <si>
    <t>FGTS</t>
  </si>
  <si>
    <t>Salário Mínimo</t>
  </si>
  <si>
    <t>Obra</t>
  </si>
  <si>
    <t>Desembolso</t>
  </si>
  <si>
    <t>Período</t>
  </si>
  <si>
    <t>Repasse</t>
  </si>
  <si>
    <t>Obra / VGV</t>
  </si>
  <si>
    <t>Total</t>
  </si>
  <si>
    <t>Avaliação CAIXA</t>
  </si>
  <si>
    <t>Preço de Venda</t>
  </si>
  <si>
    <t>financiamento maximo pela renda</t>
  </si>
  <si>
    <t>FGTS Há mais de 3 anos?</t>
  </si>
  <si>
    <t>*</t>
  </si>
  <si>
    <t>Documento Interno para Equalização de Propostas</t>
  </si>
  <si>
    <t>Não tem Valor Comercial ou Jurídico</t>
  </si>
  <si>
    <t>Impressão</t>
  </si>
  <si>
    <t>Empreendimento</t>
  </si>
  <si>
    <t>Cargo</t>
  </si>
  <si>
    <t>Nome</t>
  </si>
  <si>
    <t>Anual</t>
  </si>
  <si>
    <t>Fixa</t>
  </si>
  <si>
    <t>HUMANARI / CYAN</t>
  </si>
  <si>
    <t>Proponente</t>
  </si>
  <si>
    <t>Corretor</t>
  </si>
  <si>
    <t>Chaves</t>
  </si>
  <si>
    <t>Corrigida</t>
  </si>
  <si>
    <t>HUMANARI / MAGENTA</t>
  </si>
  <si>
    <t>Unidade</t>
  </si>
  <si>
    <t>Gerente</t>
  </si>
  <si>
    <t>Mensal</t>
  </si>
  <si>
    <t>HUMANARI / RUBINE</t>
  </si>
  <si>
    <t>Semestral</t>
  </si>
  <si>
    <t>HUMANARI / VAGAS GARAGEM</t>
  </si>
  <si>
    <t>Data da Tabela</t>
  </si>
  <si>
    <t>Juros TP a.a.</t>
  </si>
  <si>
    <t>Data TP Tabela</t>
  </si>
  <si>
    <t>Sinal</t>
  </si>
  <si>
    <t>Data da proposta</t>
  </si>
  <si>
    <t>Juros Mercado a.a.</t>
  </si>
  <si>
    <t>Data TP Proposta</t>
  </si>
  <si>
    <t>Data das Chaves:</t>
  </si>
  <si>
    <t>Preço da unidade</t>
  </si>
  <si>
    <t>TABELA DE VENDAS</t>
  </si>
  <si>
    <t>Parc.</t>
  </si>
  <si>
    <t>Periodicidade</t>
  </si>
  <si>
    <t>Data</t>
  </si>
  <si>
    <t>Parcelas Sem TP</t>
  </si>
  <si>
    <t>Parcelas Com TP</t>
  </si>
  <si>
    <t>Valor Presente</t>
  </si>
  <si>
    <t>Inicial</t>
  </si>
  <si>
    <t>Parcelas</t>
  </si>
  <si>
    <t>OBS:</t>
  </si>
  <si>
    <t>TOTAL</t>
  </si>
  <si>
    <t>PROPOSTA DO PROPONENTE</t>
  </si>
  <si>
    <t>Param. Comissão</t>
  </si>
  <si>
    <t>%Abat. N.F.</t>
  </si>
  <si>
    <t>%Abat.</t>
  </si>
  <si>
    <t>Prêmio</t>
  </si>
  <si>
    <t>Valor</t>
  </si>
  <si>
    <t>%</t>
  </si>
  <si>
    <t>Valor do %</t>
  </si>
  <si>
    <t>Vistos</t>
  </si>
  <si>
    <t>Serasa</t>
  </si>
  <si>
    <t>Crédito</t>
  </si>
  <si>
    <t>Diretoria</t>
  </si>
  <si>
    <t>Data das Chaves</t>
  </si>
  <si>
    <t>Perc. Pagas até Chaves TB com TP</t>
  </si>
  <si>
    <t>Valor Total</t>
  </si>
  <si>
    <t>Preço Total</t>
  </si>
  <si>
    <t>Porcentagem</t>
  </si>
  <si>
    <t>Perc. Do Sinal sobre o Total (TB)</t>
  </si>
  <si>
    <t>Perc. do Sinal sobre o Total (Proposta)</t>
  </si>
  <si>
    <t>V.P. da Tabela</t>
  </si>
  <si>
    <t>V.P. da Proposta</t>
  </si>
  <si>
    <t>Diferença</t>
  </si>
  <si>
    <t>Empresa de vendas</t>
  </si>
  <si>
    <t>Reajuste INCCD2</t>
  </si>
  <si>
    <t>Valor Máximo financiado em 300 meses</t>
  </si>
  <si>
    <t>Select de Financiamento</t>
  </si>
  <si>
    <t>Resposta</t>
  </si>
  <si>
    <t>Correção da Resposta</t>
  </si>
  <si>
    <t>Corretor:</t>
  </si>
  <si>
    <t>Empreendimento:</t>
  </si>
  <si>
    <t>Parcela Máxima</t>
  </si>
  <si>
    <t>Parcela Máxima sem taxa</t>
  </si>
  <si>
    <t>Valores Financiáveis</t>
  </si>
  <si>
    <t>observação</t>
  </si>
  <si>
    <t>INCC (a.a.) Nominal</t>
  </si>
  <si>
    <t>SP, Campinas, DF, RJ e RM</t>
  </si>
  <si>
    <t>Capitais e acima de 500mil</t>
  </si>
  <si>
    <t>Juros Cliente</t>
  </si>
  <si>
    <t>Valor Financiado</t>
  </si>
  <si>
    <t>Empreendimentos</t>
  </si>
  <si>
    <t>Empresa de Vendas</t>
  </si>
  <si>
    <t>Prazo</t>
  </si>
  <si>
    <t>1 Prestação</t>
  </si>
  <si>
    <t>ÚLTIMA</t>
  </si>
  <si>
    <t>RENDA</t>
  </si>
  <si>
    <t>PRAZO</t>
  </si>
  <si>
    <t>+</t>
  </si>
  <si>
    <t>=</t>
  </si>
  <si>
    <t>DIA</t>
  </si>
  <si>
    <t>MÊS</t>
  </si>
  <si>
    <t>ANO</t>
  </si>
  <si>
    <t>IDADE EM MESES</t>
  </si>
  <si>
    <t>Quota de Financiamento maxima</t>
  </si>
  <si>
    <t>Subsísidio praticado</t>
  </si>
  <si>
    <t>Valor Maximo do Imóvel no pacote</t>
  </si>
  <si>
    <t>Tipo</t>
  </si>
  <si>
    <t>Código</t>
  </si>
  <si>
    <t>Código Tipo</t>
  </si>
  <si>
    <t>Código Preço de Venda</t>
  </si>
  <si>
    <t>Código Avaliação CAIXA</t>
  </si>
  <si>
    <t>Venda</t>
  </si>
  <si>
    <t>Código Empreendimento</t>
  </si>
  <si>
    <t>Taxa de Administração</t>
  </si>
  <si>
    <t>Salário Isento de Taxa</t>
  </si>
  <si>
    <t>Resposta do simulador</t>
  </si>
  <si>
    <t>Salário do Cliente</t>
  </si>
  <si>
    <t>Código dos dos empreendimentos</t>
  </si>
  <si>
    <t>Código Venda</t>
  </si>
  <si>
    <t>Código Avaliação</t>
  </si>
  <si>
    <t>Planilha de resposta do empreendimento escolhido</t>
  </si>
  <si>
    <t>Tabela de Unidades disponíveis</t>
  </si>
  <si>
    <t>Qual o Valor Máximo do Imóvel no Pacote para esta região?</t>
  </si>
  <si>
    <t>Valor Máximo do imóvel no Pacote</t>
  </si>
  <si>
    <t>Valor Máximo do Pacote</t>
  </si>
  <si>
    <t>Valor Máximo Do Imóvel dentro do Pacote</t>
  </si>
  <si>
    <t>Taxa do Cliente</t>
  </si>
  <si>
    <t>Empresa de Venda:</t>
  </si>
  <si>
    <t>Valor do Imóvel na Tabela:</t>
  </si>
  <si>
    <t>a.a.</t>
  </si>
  <si>
    <t>a.m.</t>
  </si>
  <si>
    <t>Data:</t>
  </si>
  <si>
    <t>Código Curva Obra</t>
  </si>
  <si>
    <t>Código Desembolso</t>
  </si>
  <si>
    <t>Mês de Chaves</t>
  </si>
  <si>
    <t>Data Chaves</t>
  </si>
  <si>
    <t>Data Das Chaves</t>
  </si>
  <si>
    <t>Análise de Crédito</t>
  </si>
  <si>
    <t>Mês</t>
  </si>
  <si>
    <t>Encargos Incorporador</t>
  </si>
  <si>
    <t>Encargos 
CAIXA</t>
  </si>
  <si>
    <t>Período Atual</t>
  </si>
  <si>
    <t>Parcela Média</t>
  </si>
  <si>
    <t>Resultado</t>
  </si>
  <si>
    <t>Prazo para o 
término da Obra</t>
  </si>
  <si>
    <t>Parcela 
Máxima</t>
  </si>
  <si>
    <t>ENTRADA MÍNIMA</t>
  </si>
  <si>
    <t>Valor do contrato de financiamento com a CAIXA</t>
  </si>
  <si>
    <t>Entrada</t>
  </si>
  <si>
    <t>Botões PV</t>
  </si>
  <si>
    <t>QTDE PARCELAS</t>
  </si>
  <si>
    <t>DATA INICIAL</t>
  </si>
  <si>
    <t>PARCELA</t>
  </si>
  <si>
    <t>VALOR PRESENTE</t>
  </si>
  <si>
    <t>FINANCIAMENTO</t>
  </si>
  <si>
    <t>Parcela Média Com Juros CAIXA</t>
  </si>
  <si>
    <t>MÊS DE INÍCIO</t>
  </si>
  <si>
    <t>3. ANÁLISE DE CRÉDITO</t>
  </si>
  <si>
    <t>Primeira Parcela do Financiamento</t>
  </si>
  <si>
    <t>Valor Máximo do FGTS</t>
  </si>
  <si>
    <t>Prazo Obra</t>
  </si>
  <si>
    <t>PV</t>
  </si>
  <si>
    <t>RESPOSTAS</t>
  </si>
  <si>
    <t>Mês do Repasse Estimado</t>
  </si>
  <si>
    <t>Modelo Correto de análise de Crédito</t>
  </si>
  <si>
    <t>Sim</t>
  </si>
  <si>
    <t>Não</t>
  </si>
  <si>
    <t>Serie 1</t>
  </si>
  <si>
    <t>Parcela 1</t>
  </si>
  <si>
    <t xml:space="preserve">Serie 2 </t>
  </si>
  <si>
    <t>Parcela 2</t>
  </si>
  <si>
    <t>Serie 3</t>
  </si>
  <si>
    <t>Parcela 3</t>
  </si>
  <si>
    <t>Serie 4</t>
  </si>
  <si>
    <t>Parcela 4</t>
  </si>
  <si>
    <t>Serie Entrada</t>
  </si>
  <si>
    <t>Parcela Entrada</t>
  </si>
  <si>
    <t>Parcela Chaves</t>
  </si>
  <si>
    <t>PV para Zerar</t>
  </si>
  <si>
    <t>Parcela para zerar PV</t>
  </si>
  <si>
    <t>Apoio</t>
  </si>
  <si>
    <t>Renda para 
Análise (90%)</t>
  </si>
  <si>
    <t>Prazo Pós Obra</t>
  </si>
  <si>
    <t>Limite máximo de financiamento (REPASSE)</t>
  </si>
  <si>
    <t>Última Parcela de  Encargos CAIXA</t>
  </si>
  <si>
    <t>Parcela Média de Encargos CAIXA</t>
  </si>
  <si>
    <t>somatório de parcelas CAIXA e Incorporador - (Entrada e Chaves)</t>
  </si>
  <si>
    <t>Primeira Parcela de
 Encargos CAIXA</t>
  </si>
  <si>
    <t>Data de Virada da Tabela</t>
  </si>
  <si>
    <t>Chaves (valor máximo da poupança)</t>
  </si>
  <si>
    <t>Valor Máximo de Chaves</t>
  </si>
  <si>
    <t xml:space="preserve">TOTAL   </t>
  </si>
  <si>
    <t>Prazo Para Chaves</t>
  </si>
  <si>
    <t>Empreendimento 01</t>
  </si>
  <si>
    <t>Empreendimento 02</t>
  </si>
  <si>
    <t>Empreendimento 03</t>
  </si>
  <si>
    <t>Empreendimento 04</t>
  </si>
  <si>
    <t>Empreendimento 05</t>
  </si>
  <si>
    <t>Empreendimento 06</t>
  </si>
  <si>
    <t>Empreendimento 07</t>
  </si>
  <si>
    <t>Empreendimento 08</t>
  </si>
  <si>
    <t>Empreendimento 09</t>
  </si>
  <si>
    <t>Empreendimento 10</t>
  </si>
  <si>
    <t>Empreendimento 11</t>
  </si>
  <si>
    <t>Empreendimento 12</t>
  </si>
  <si>
    <t>Empreendimento 13</t>
  </si>
  <si>
    <t>Empreendimento 14</t>
  </si>
  <si>
    <t>Data de Mudança de Tabela</t>
  </si>
  <si>
    <t>Empresas de Vendas</t>
  </si>
  <si>
    <t>select</t>
  </si>
  <si>
    <t>zerar PV</t>
  </si>
  <si>
    <t>Valor a ser repassado para CAIXA</t>
  </si>
  <si>
    <t>Idade</t>
  </si>
  <si>
    <t>Seguro Morte ou Invalidez</t>
  </si>
  <si>
    <t>Fundo Garantidor (emprego)</t>
  </si>
  <si>
    <t>Taxa (%)</t>
  </si>
  <si>
    <t>Taxa (R$)</t>
  </si>
  <si>
    <t xml:space="preserve">O Cálculo da Taxa leva em conta a idade do cliente no repasse e não na data da venda (incluindo margem de segurança de 2 meses). No Simulador da CAIXA não desconta a taxa do Fundo, pois é optativo, mas na prática todos optam. </t>
  </si>
  <si>
    <t>% FLUXO</t>
  </si>
  <si>
    <t>Única</t>
  </si>
  <si>
    <t>Zerar PV no Financiamento?</t>
  </si>
  <si>
    <t>não</t>
  </si>
  <si>
    <t>sim</t>
  </si>
  <si>
    <t>Gerente:</t>
  </si>
  <si>
    <t>Teste lógico - Parcela Máxima x Parcela tabela</t>
  </si>
  <si>
    <t>pro-soluto</t>
  </si>
  <si>
    <t>Mensal 1</t>
  </si>
  <si>
    <t>Mensal 2</t>
  </si>
  <si>
    <t>Ok</t>
  </si>
  <si>
    <t>Qualquer  fluxo ou valor diferente do proposto pela tabela de vendas só será válido com autorização da Sec. Vendas</t>
  </si>
  <si>
    <t xml:space="preserve">Desconto </t>
  </si>
  <si>
    <t>TABELA PRICE</t>
  </si>
  <si>
    <t>Simulador Para Testes</t>
  </si>
  <si>
    <t>Pró Soluto</t>
  </si>
  <si>
    <t>FGTS + SUBSÍDIO</t>
  </si>
  <si>
    <t>Bl 1 – Finais  03 e 04  2° ao 17° e Bl 2 - Finais 07 a 08 2° ao 17° - Sol da Manhã</t>
  </si>
  <si>
    <t>Bl 2 – Finais 03 e 04  2° ao 17° e Bl 1 - Finais 07 e 08  2° ao 17° - Sol da Tarde</t>
  </si>
  <si>
    <t>Bl 1 e 2 - 103, 104, 107–  PNE</t>
  </si>
  <si>
    <t>DEZ VISTA ALEGRE - BLOCOS 1 e 2</t>
  </si>
  <si>
    <t>I.NOVA</t>
  </si>
  <si>
    <t>SELLER</t>
  </si>
  <si>
    <t>Bl 2 – Final 06 –  Terreo ao 17° e Bl 1 - Finais 02 e 05 - Terreo ao 17° - Sol da Manhã</t>
  </si>
  <si>
    <t>Bl 2 – Finais 05 –  Terreo ao 17° e Bl 1 - Finais 01 e 06 - Terreo ao 17° - Sol da Tarde</t>
  </si>
  <si>
    <t>Bl 2 - Final 01 - Terreo ao 17° - Sol da Manhã</t>
  </si>
  <si>
    <t>Bl 2- Final 02 - Terreo ao 17° - Sol da Tarde</t>
  </si>
  <si>
    <t>Bloco/Unidade</t>
  </si>
  <si>
    <t>1/101</t>
  </si>
  <si>
    <t>1/102</t>
  </si>
  <si>
    <t>1/103</t>
  </si>
  <si>
    <t>1/104</t>
  </si>
  <si>
    <t>1/105</t>
  </si>
  <si>
    <t>1/106</t>
  </si>
  <si>
    <t>1/201</t>
  </si>
  <si>
    <t>1/202</t>
  </si>
  <si>
    <t>1/203</t>
  </si>
  <si>
    <t>1/204</t>
  </si>
  <si>
    <t>1/205</t>
  </si>
  <si>
    <t>1/206</t>
  </si>
  <si>
    <t>1/207</t>
  </si>
  <si>
    <t>1/208</t>
  </si>
  <si>
    <t>1/301</t>
  </si>
  <si>
    <t>1/302</t>
  </si>
  <si>
    <t>1/303</t>
  </si>
  <si>
    <t>1/304</t>
  </si>
  <si>
    <t>1/305</t>
  </si>
  <si>
    <t>1/306</t>
  </si>
  <si>
    <t>1/307</t>
  </si>
  <si>
    <t>1/308</t>
  </si>
  <si>
    <t>1/401</t>
  </si>
  <si>
    <t>1/402</t>
  </si>
  <si>
    <t>1/403</t>
  </si>
  <si>
    <t>1/404</t>
  </si>
  <si>
    <t>1/405</t>
  </si>
  <si>
    <t>1/406</t>
  </si>
  <si>
    <t>1/407</t>
  </si>
  <si>
    <t>1/408</t>
  </si>
  <si>
    <t>1/501</t>
  </si>
  <si>
    <t>1/502</t>
  </si>
  <si>
    <t>1/503</t>
  </si>
  <si>
    <t>1/504</t>
  </si>
  <si>
    <t>1/505</t>
  </si>
  <si>
    <t>1/506</t>
  </si>
  <si>
    <t>1/507</t>
  </si>
  <si>
    <t>1/508</t>
  </si>
  <si>
    <t>1/601</t>
  </si>
  <si>
    <t>1/602</t>
  </si>
  <si>
    <t>1/603</t>
  </si>
  <si>
    <t>1/604</t>
  </si>
  <si>
    <t>1/605</t>
  </si>
  <si>
    <t>1/606</t>
  </si>
  <si>
    <t>1/607</t>
  </si>
  <si>
    <t>1/608</t>
  </si>
  <si>
    <t>1/701</t>
  </si>
  <si>
    <t>1/702</t>
  </si>
  <si>
    <t>1/703</t>
  </si>
  <si>
    <t>1/704</t>
  </si>
  <si>
    <t>1/705</t>
  </si>
  <si>
    <t>1/706</t>
  </si>
  <si>
    <t>1/707</t>
  </si>
  <si>
    <t>1/708</t>
  </si>
  <si>
    <t>1/801</t>
  </si>
  <si>
    <t>1/802</t>
  </si>
  <si>
    <t>1/803</t>
  </si>
  <si>
    <t>1/804</t>
  </si>
  <si>
    <t>1/805</t>
  </si>
  <si>
    <t>1/806</t>
  </si>
  <si>
    <t>1/807</t>
  </si>
  <si>
    <t>1/808</t>
  </si>
  <si>
    <t>2/101</t>
  </si>
  <si>
    <t>2/102</t>
  </si>
  <si>
    <t>2/103</t>
  </si>
  <si>
    <t>2/104</t>
  </si>
  <si>
    <t>2/105</t>
  </si>
  <si>
    <t>2/201</t>
  </si>
  <si>
    <t>2/202</t>
  </si>
  <si>
    <t>2/203</t>
  </si>
  <si>
    <t>2/204</t>
  </si>
  <si>
    <t>2/205</t>
  </si>
  <si>
    <t>2/206</t>
  </si>
  <si>
    <t>2/207</t>
  </si>
  <si>
    <t>2/208</t>
  </si>
  <si>
    <t>2/301</t>
  </si>
  <si>
    <t>2/302</t>
  </si>
  <si>
    <t>2/303</t>
  </si>
  <si>
    <t>2/304</t>
  </si>
  <si>
    <t>2/305</t>
  </si>
  <si>
    <t>2/306</t>
  </si>
  <si>
    <t>2/307</t>
  </si>
  <si>
    <t>2/308</t>
  </si>
  <si>
    <t>2/401</t>
  </si>
  <si>
    <t>2/402</t>
  </si>
  <si>
    <t>2/403</t>
  </si>
  <si>
    <t>2/404</t>
  </si>
  <si>
    <t>2/405</t>
  </si>
  <si>
    <t>2/406</t>
  </si>
  <si>
    <t>2/407</t>
  </si>
  <si>
    <t>2/408</t>
  </si>
  <si>
    <t>2/501</t>
  </si>
  <si>
    <t>2/502</t>
  </si>
  <si>
    <t>2/503</t>
  </si>
  <si>
    <t>2/504</t>
  </si>
  <si>
    <t>2/505</t>
  </si>
  <si>
    <t>2/506</t>
  </si>
  <si>
    <t>2/507</t>
  </si>
  <si>
    <t>2/508</t>
  </si>
  <si>
    <t>2/601</t>
  </si>
  <si>
    <t>2/602</t>
  </si>
  <si>
    <t>2/603</t>
  </si>
  <si>
    <t>2/604</t>
  </si>
  <si>
    <t>2/605</t>
  </si>
  <si>
    <t>2/606</t>
  </si>
  <si>
    <t>2/607</t>
  </si>
  <si>
    <t>2/608</t>
  </si>
  <si>
    <t>2/701</t>
  </si>
  <si>
    <t>2/702</t>
  </si>
  <si>
    <t>2/703</t>
  </si>
  <si>
    <t>2/704</t>
  </si>
  <si>
    <t>2/705</t>
  </si>
  <si>
    <t>2/706</t>
  </si>
  <si>
    <t>2/707</t>
  </si>
  <si>
    <t>2/708</t>
  </si>
  <si>
    <t>2/801</t>
  </si>
  <si>
    <t>2/802</t>
  </si>
  <si>
    <t>2/803</t>
  </si>
  <si>
    <t>2/804</t>
  </si>
  <si>
    <t>2/805</t>
  </si>
  <si>
    <t>2/806</t>
  </si>
  <si>
    <t>2/807</t>
  </si>
  <si>
    <t>2/808</t>
  </si>
  <si>
    <t>PREENCHER</t>
  </si>
  <si>
    <t>NÃO PREENCHER</t>
  </si>
  <si>
    <t>Faixa</t>
  </si>
  <si>
    <t>Faixa 70%</t>
  </si>
  <si>
    <t>30 Dias</t>
  </si>
  <si>
    <t>CORREÇÃO</t>
  </si>
  <si>
    <t>VALOR 05.2017</t>
  </si>
  <si>
    <t>1/107</t>
  </si>
  <si>
    <t>2/106</t>
  </si>
  <si>
    <t>2/107</t>
  </si>
  <si>
    <t>Pró -Soluto</t>
  </si>
  <si>
    <t>PROPOSTA CLIENTE SEM ITBI/REGISTRO</t>
  </si>
  <si>
    <t>Exato Rio Grande</t>
  </si>
  <si>
    <t>ITBI</t>
  </si>
  <si>
    <t>60 dias</t>
  </si>
  <si>
    <t>90 dias</t>
  </si>
  <si>
    <t>80% de Avaliação</t>
  </si>
  <si>
    <t>All Nations B</t>
  </si>
  <si>
    <t>1/901</t>
  </si>
  <si>
    <t>1/902</t>
  </si>
  <si>
    <t>1/903</t>
  </si>
  <si>
    <t>1/904</t>
  </si>
  <si>
    <t>1/905</t>
  </si>
  <si>
    <t>1/906</t>
  </si>
  <si>
    <t>1/907</t>
  </si>
  <si>
    <t>1/908</t>
  </si>
  <si>
    <t>1/1001</t>
  </si>
  <si>
    <t>1/1002</t>
  </si>
  <si>
    <t>1/1003</t>
  </si>
  <si>
    <t>1/1004</t>
  </si>
  <si>
    <t>1/1005</t>
  </si>
  <si>
    <t>1/1006</t>
  </si>
  <si>
    <t>1/1007</t>
  </si>
  <si>
    <t>1/1008</t>
  </si>
  <si>
    <t>1/1101</t>
  </si>
  <si>
    <t>1/1102</t>
  </si>
  <si>
    <t>1/1103</t>
  </si>
  <si>
    <t>1/1104</t>
  </si>
  <si>
    <t>1/1105</t>
  </si>
  <si>
    <t>1/1106</t>
  </si>
  <si>
    <t>1/1107</t>
  </si>
  <si>
    <t>1/1108</t>
  </si>
  <si>
    <t>1/1201</t>
  </si>
  <si>
    <t>1/1202</t>
  </si>
  <si>
    <t>1/1203</t>
  </si>
  <si>
    <t>1/1204</t>
  </si>
  <si>
    <t>1/1205</t>
  </si>
  <si>
    <t>1/1206</t>
  </si>
  <si>
    <t>1/1207</t>
  </si>
  <si>
    <t>1/1208</t>
  </si>
  <si>
    <t>1/1301</t>
  </si>
  <si>
    <t>1/1302</t>
  </si>
  <si>
    <t>1/1303</t>
  </si>
  <si>
    <t>1/1304</t>
  </si>
  <si>
    <t>1/1305</t>
  </si>
  <si>
    <t>1/1306</t>
  </si>
  <si>
    <t>1/1307</t>
  </si>
  <si>
    <t>1/1308</t>
  </si>
  <si>
    <t>1/1401</t>
  </si>
  <si>
    <t>1/1402</t>
  </si>
  <si>
    <t>1/1403</t>
  </si>
  <si>
    <t>1/1404</t>
  </si>
  <si>
    <t>1/1405</t>
  </si>
  <si>
    <t>1/1406</t>
  </si>
  <si>
    <t>1/1407</t>
  </si>
  <si>
    <t>1/1408</t>
  </si>
  <si>
    <t>1/1501</t>
  </si>
  <si>
    <t>1/1502</t>
  </si>
  <si>
    <t>1/1503</t>
  </si>
  <si>
    <t>1/1504</t>
  </si>
  <si>
    <t>1/1505</t>
  </si>
  <si>
    <t>1/1506</t>
  </si>
  <si>
    <t>1/1507</t>
  </si>
  <si>
    <t>1/1508</t>
  </si>
  <si>
    <t>1/1601</t>
  </si>
  <si>
    <t>1/1602</t>
  </si>
  <si>
    <t>1/1603</t>
  </si>
  <si>
    <t>1/1604</t>
  </si>
  <si>
    <t>1/1605</t>
  </si>
  <si>
    <t>1/1606</t>
  </si>
  <si>
    <t>1/1607</t>
  </si>
  <si>
    <t>1/1608</t>
  </si>
  <si>
    <t>2/108</t>
  </si>
  <si>
    <t>2/209</t>
  </si>
  <si>
    <t>2/210</t>
  </si>
  <si>
    <t>2/309</t>
  </si>
  <si>
    <t>2/310</t>
  </si>
  <si>
    <t>2/409</t>
  </si>
  <si>
    <t>2/410</t>
  </si>
  <si>
    <t>2/509</t>
  </si>
  <si>
    <t>2/510</t>
  </si>
  <si>
    <t>2/609</t>
  </si>
  <si>
    <t>2/610</t>
  </si>
  <si>
    <t>2/709</t>
  </si>
  <si>
    <t>2/710</t>
  </si>
  <si>
    <t>2/809</t>
  </si>
  <si>
    <t>2/810</t>
  </si>
  <si>
    <t>2/901</t>
  </si>
  <si>
    <t>2/902</t>
  </si>
  <si>
    <t>2/903</t>
  </si>
  <si>
    <t>2/904</t>
  </si>
  <si>
    <t>2/905</t>
  </si>
  <si>
    <t>2/906</t>
  </si>
  <si>
    <t>2/907</t>
  </si>
  <si>
    <t>2/908</t>
  </si>
  <si>
    <t>2/909</t>
  </si>
  <si>
    <t>2/910</t>
  </si>
  <si>
    <t>2/1001</t>
  </si>
  <si>
    <t>2/1002</t>
  </si>
  <si>
    <t>2/1003</t>
  </si>
  <si>
    <t>2/1004</t>
  </si>
  <si>
    <t>2/1005</t>
  </si>
  <si>
    <t>2/1006</t>
  </si>
  <si>
    <t>2/1007</t>
  </si>
  <si>
    <t>2/1008</t>
  </si>
  <si>
    <t>2/1009</t>
  </si>
  <si>
    <t>2/1010</t>
  </si>
  <si>
    <t>2/1101</t>
  </si>
  <si>
    <t>2/1102</t>
  </si>
  <si>
    <t>2/1103</t>
  </si>
  <si>
    <t>2/1104</t>
  </si>
  <si>
    <t>2/1105</t>
  </si>
  <si>
    <t>2/1106</t>
  </si>
  <si>
    <t>2/1107</t>
  </si>
  <si>
    <t>2/1108</t>
  </si>
  <si>
    <t>2/1109</t>
  </si>
  <si>
    <t>2/1110</t>
  </si>
  <si>
    <t>2/1201</t>
  </si>
  <si>
    <t>2/1202</t>
  </si>
  <si>
    <t>2/1203</t>
  </si>
  <si>
    <t>2/1204</t>
  </si>
  <si>
    <t>2/1205</t>
  </si>
  <si>
    <t>2/1206</t>
  </si>
  <si>
    <t>2/1207</t>
  </si>
  <si>
    <t>2/1208</t>
  </si>
  <si>
    <t>2/1209</t>
  </si>
  <si>
    <t>2/1210</t>
  </si>
  <si>
    <t>2/1301</t>
  </si>
  <si>
    <t>2/1302</t>
  </si>
  <si>
    <t>2/1303</t>
  </si>
  <si>
    <t>2/1304</t>
  </si>
  <si>
    <t>2/1305</t>
  </si>
  <si>
    <t>2/1306</t>
  </si>
  <si>
    <t>2/1307</t>
  </si>
  <si>
    <t>2/1308</t>
  </si>
  <si>
    <t>2/1309</t>
  </si>
  <si>
    <t>2/1310</t>
  </si>
  <si>
    <t>2/1401</t>
  </si>
  <si>
    <t>2/1402</t>
  </si>
  <si>
    <t>2/1403</t>
  </si>
  <si>
    <t>2/1404</t>
  </si>
  <si>
    <t>2/1405</t>
  </si>
  <si>
    <t>2/1406</t>
  </si>
  <si>
    <t>2/1407</t>
  </si>
  <si>
    <t>2/1408</t>
  </si>
  <si>
    <t>2/1409</t>
  </si>
  <si>
    <t>2/1410</t>
  </si>
  <si>
    <t>2/1501</t>
  </si>
  <si>
    <t>2/1502</t>
  </si>
  <si>
    <t>2/1503</t>
  </si>
  <si>
    <t>2/1504</t>
  </si>
  <si>
    <t>2/1505</t>
  </si>
  <si>
    <t>2/1506</t>
  </si>
  <si>
    <t>2/1507</t>
  </si>
  <si>
    <t>2/1508</t>
  </si>
  <si>
    <t>2/1509</t>
  </si>
  <si>
    <t>2/1510</t>
  </si>
  <si>
    <t>3/101</t>
  </si>
  <si>
    <t>3/102</t>
  </si>
  <si>
    <t>3/103</t>
  </si>
  <si>
    <t>3/104</t>
  </si>
  <si>
    <t>3/105</t>
  </si>
  <si>
    <t>3/106</t>
  </si>
  <si>
    <t>3/107</t>
  </si>
  <si>
    <t>3/108</t>
  </si>
  <si>
    <t>3/109</t>
  </si>
  <si>
    <t>3/110</t>
  </si>
  <si>
    <t>3/201</t>
  </si>
  <si>
    <t>3/202</t>
  </si>
  <si>
    <t>3/203</t>
  </si>
  <si>
    <t>3/204</t>
  </si>
  <si>
    <t>3/205</t>
  </si>
  <si>
    <t>3/206</t>
  </si>
  <si>
    <t>3/207</t>
  </si>
  <si>
    <t>3/208</t>
  </si>
  <si>
    <t>3/209</t>
  </si>
  <si>
    <t>3/210</t>
  </si>
  <si>
    <t>3/211</t>
  </si>
  <si>
    <t>3/212</t>
  </si>
  <si>
    <t>3/301</t>
  </si>
  <si>
    <t>3/302</t>
  </si>
  <si>
    <t>3/303</t>
  </si>
  <si>
    <t>3/304</t>
  </si>
  <si>
    <t>3/305</t>
  </si>
  <si>
    <t>3/306</t>
  </si>
  <si>
    <t>3/307</t>
  </si>
  <si>
    <t>3/308</t>
  </si>
  <si>
    <t>3/309</t>
  </si>
  <si>
    <t>3/310</t>
  </si>
  <si>
    <t>3/311</t>
  </si>
  <si>
    <t>3/312</t>
  </si>
  <si>
    <t>3/401</t>
  </si>
  <si>
    <t>3/402</t>
  </si>
  <si>
    <t>3/403</t>
  </si>
  <si>
    <t>3/404</t>
  </si>
  <si>
    <t>3/405</t>
  </si>
  <si>
    <t>3/406</t>
  </si>
  <si>
    <t>3/407</t>
  </si>
  <si>
    <t>3/408</t>
  </si>
  <si>
    <t>3/409</t>
  </si>
  <si>
    <t>3/410</t>
  </si>
  <si>
    <t>3/411</t>
  </si>
  <si>
    <t>3/412</t>
  </si>
  <si>
    <t>3/501</t>
  </si>
  <si>
    <t>3/502</t>
  </si>
  <si>
    <t>3/503</t>
  </si>
  <si>
    <t>3/504</t>
  </si>
  <si>
    <t>3/505</t>
  </si>
  <si>
    <t>3/506</t>
  </si>
  <si>
    <t>3/507</t>
  </si>
  <si>
    <t>3/508</t>
  </si>
  <si>
    <t>3/509</t>
  </si>
  <si>
    <t>3/510</t>
  </si>
  <si>
    <t>3/511</t>
  </si>
  <si>
    <t>3/512</t>
  </si>
  <si>
    <t>3/601</t>
  </si>
  <si>
    <t>3/602</t>
  </si>
  <si>
    <t>3/603</t>
  </si>
  <si>
    <t>3/604</t>
  </si>
  <si>
    <t>3/605</t>
  </si>
  <si>
    <t>3/606</t>
  </si>
  <si>
    <t>3/607</t>
  </si>
  <si>
    <t>3/608</t>
  </si>
  <si>
    <t>3/609</t>
  </si>
  <si>
    <t>3/610</t>
  </si>
  <si>
    <t>3/611</t>
  </si>
  <si>
    <t>3/612</t>
  </si>
  <si>
    <t>3/701</t>
  </si>
  <si>
    <t>3/702</t>
  </si>
  <si>
    <t>3/703</t>
  </si>
  <si>
    <t>3/704</t>
  </si>
  <si>
    <t>3/705</t>
  </si>
  <si>
    <t>3/706</t>
  </si>
  <si>
    <t>3/707</t>
  </si>
  <si>
    <t>3/708</t>
  </si>
  <si>
    <t>3/709</t>
  </si>
  <si>
    <t>3/710</t>
  </si>
  <si>
    <t>3/711</t>
  </si>
  <si>
    <t>3/712</t>
  </si>
  <si>
    <t>3/801</t>
  </si>
  <si>
    <t>3/802</t>
  </si>
  <si>
    <t>3/803</t>
  </si>
  <si>
    <t>3/804</t>
  </si>
  <si>
    <t>3/805</t>
  </si>
  <si>
    <t>3/806</t>
  </si>
  <si>
    <t>3/807</t>
  </si>
  <si>
    <t>3/808</t>
  </si>
  <si>
    <t>3/809</t>
  </si>
  <si>
    <t>3/810</t>
  </si>
  <si>
    <t>3/811</t>
  </si>
  <si>
    <t>3/812</t>
  </si>
  <si>
    <t>3/901</t>
  </si>
  <si>
    <t>3/902</t>
  </si>
  <si>
    <t>3/903</t>
  </si>
  <si>
    <t>3/904</t>
  </si>
  <si>
    <t>3/905</t>
  </si>
  <si>
    <t>3/906</t>
  </si>
  <si>
    <t>3/907</t>
  </si>
  <si>
    <t>3/908</t>
  </si>
  <si>
    <t>3/909</t>
  </si>
  <si>
    <t>3/910</t>
  </si>
  <si>
    <t>3/911</t>
  </si>
  <si>
    <t>3/912</t>
  </si>
  <si>
    <t>3/1001</t>
  </si>
  <si>
    <t>3/1002</t>
  </si>
  <si>
    <t>3/1003</t>
  </si>
  <si>
    <t>3/1004</t>
  </si>
  <si>
    <t>3/1005</t>
  </si>
  <si>
    <t>3/1006</t>
  </si>
  <si>
    <t>3/1007</t>
  </si>
  <si>
    <t>3/1008</t>
  </si>
  <si>
    <t>3/1009</t>
  </si>
  <si>
    <t>3/1010</t>
  </si>
  <si>
    <t>3/1011</t>
  </si>
  <si>
    <t>3/1012</t>
  </si>
  <si>
    <t>3/1101</t>
  </si>
  <si>
    <t>3/1102</t>
  </si>
  <si>
    <t>3/1103</t>
  </si>
  <si>
    <t>3/1104</t>
  </si>
  <si>
    <t>3/1105</t>
  </si>
  <si>
    <t>3/1106</t>
  </si>
  <si>
    <t>3/1107</t>
  </si>
  <si>
    <t>3/1108</t>
  </si>
  <si>
    <t>3/1109</t>
  </si>
  <si>
    <t>3/1110</t>
  </si>
  <si>
    <t>3/1111</t>
  </si>
  <si>
    <t>3/1112</t>
  </si>
  <si>
    <t>3/1201</t>
  </si>
  <si>
    <t>3/1202</t>
  </si>
  <si>
    <t>3/1203</t>
  </si>
  <si>
    <t>3/1204</t>
  </si>
  <si>
    <t>3/1205</t>
  </si>
  <si>
    <t>3/1206</t>
  </si>
  <si>
    <t>3/1207</t>
  </si>
  <si>
    <t>3/1208</t>
  </si>
  <si>
    <t>3/1209</t>
  </si>
  <si>
    <t>3/1210</t>
  </si>
  <si>
    <t>3/1211</t>
  </si>
  <si>
    <t>3/1212</t>
  </si>
  <si>
    <t>3/1301</t>
  </si>
  <si>
    <t>3/1302</t>
  </si>
  <si>
    <t>3/1303</t>
  </si>
  <si>
    <t>3/1304</t>
  </si>
  <si>
    <t>3/1305</t>
  </si>
  <si>
    <t>3/1306</t>
  </si>
  <si>
    <t>3/1307</t>
  </si>
  <si>
    <t>3/1308</t>
  </si>
  <si>
    <t>3/1309</t>
  </si>
  <si>
    <t>3/1310</t>
  </si>
  <si>
    <t>3/1311</t>
  </si>
  <si>
    <t>3/1312</t>
  </si>
  <si>
    <t>3/1401</t>
  </si>
  <si>
    <t>3/1402</t>
  </si>
  <si>
    <t>3/1403</t>
  </si>
  <si>
    <t>3/1404</t>
  </si>
  <si>
    <t>3/1405</t>
  </si>
  <si>
    <t>3/1406</t>
  </si>
  <si>
    <t>3/1407</t>
  </si>
  <si>
    <t>3/1408</t>
  </si>
  <si>
    <t>3/1409</t>
  </si>
  <si>
    <t>3/1410</t>
  </si>
  <si>
    <t>3/1411</t>
  </si>
  <si>
    <t>3/1412</t>
  </si>
  <si>
    <t>3/1501</t>
  </si>
  <si>
    <t>3/1502</t>
  </si>
  <si>
    <t>3/1503</t>
  </si>
  <si>
    <t>3/1504</t>
  </si>
  <si>
    <t>3/1505</t>
  </si>
  <si>
    <t>3/1506</t>
  </si>
  <si>
    <t>3/1507</t>
  </si>
  <si>
    <t>3/1508</t>
  </si>
  <si>
    <t>3/1509</t>
  </si>
  <si>
    <t>3/1510</t>
  </si>
  <si>
    <t>3/1511</t>
  </si>
  <si>
    <t>3/1512</t>
  </si>
  <si>
    <t>3/1601</t>
  </si>
  <si>
    <t>3/1602</t>
  </si>
  <si>
    <t>3/1603</t>
  </si>
  <si>
    <t>3/1604</t>
  </si>
  <si>
    <t>3/1605</t>
  </si>
  <si>
    <t>3/1606</t>
  </si>
  <si>
    <t>3/1607</t>
  </si>
  <si>
    <t>3/1608</t>
  </si>
  <si>
    <t>3/1609</t>
  </si>
  <si>
    <t>3/1610</t>
  </si>
  <si>
    <t>3/1611</t>
  </si>
  <si>
    <t>3/1612</t>
  </si>
  <si>
    <t>Mensal + Financiamento</t>
  </si>
  <si>
    <t>Mensal + Anual</t>
  </si>
  <si>
    <t>Mensal + Chaves</t>
  </si>
  <si>
    <t>TABELA SAC</t>
  </si>
  <si>
    <t>VIVAZ DEL CASTILHO</t>
  </si>
  <si>
    <t xml:space="preserve">Idade </t>
  </si>
  <si>
    <r>
      <t xml:space="preserve">Parcela Média Total </t>
    </r>
    <r>
      <rPr>
        <b/>
        <sz val="14"/>
        <rFont val="Tahoma"/>
        <family val="2"/>
      </rPr>
      <t>(CAIXA + Incorporador)</t>
    </r>
  </si>
  <si>
    <r>
      <t>Maior Parcela Mensal</t>
    </r>
    <r>
      <rPr>
        <b/>
        <sz val="14"/>
        <rFont val="Tahoma"/>
        <family val="2"/>
      </rPr>
      <t xml:space="preserve"> (CAIXA + Incorporador)</t>
    </r>
  </si>
  <si>
    <t>Nome do Cliente:</t>
  </si>
  <si>
    <t>Renda Familiar Total:</t>
  </si>
  <si>
    <t>Carteira assinada (Meses)</t>
  </si>
  <si>
    <t>Prazo de Financiamento Pós Obra:</t>
  </si>
  <si>
    <t>Qtd Compradores:</t>
  </si>
  <si>
    <t>Dependentes:</t>
  </si>
  <si>
    <t>Já possui imóvel próprio:</t>
  </si>
  <si>
    <t>Data nascimento:</t>
  </si>
  <si>
    <t>Valor do FGTS:</t>
  </si>
  <si>
    <t>Taxa de Juros Nominal:</t>
  </si>
  <si>
    <t>Registro</t>
  </si>
  <si>
    <t>ITBI+Registro</t>
  </si>
  <si>
    <t>Subsídio:</t>
  </si>
  <si>
    <t>Valor Máximo Financiado:</t>
  </si>
  <si>
    <t>Valor Máximo de Repasse:</t>
  </si>
  <si>
    <t>Total:</t>
  </si>
  <si>
    <t>Parcela Mínima</t>
  </si>
  <si>
    <t>Não entendi</t>
  </si>
  <si>
    <t>Cliente PMCMV/CCFGTS?</t>
  </si>
  <si>
    <t>Mensal Máxima:</t>
  </si>
  <si>
    <t>Lista Suspensa</t>
  </si>
  <si>
    <t>Prazo Máximo a financiar</t>
  </si>
  <si>
    <t>Prazo Máx. Financ.</t>
  </si>
  <si>
    <t>Última Parcela do Financiamento</t>
  </si>
  <si>
    <t>FINANCIAMENTO CAIXA</t>
  </si>
  <si>
    <t>PROPOSTA CLIENTE</t>
  </si>
  <si>
    <t>INFORMAÇÕES CLIENTE</t>
  </si>
  <si>
    <t>Alterar Vaor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</si>
</sst>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7" formatCode="&quot;R$ &quot;#,##0.00_);\(&quot;R$ &quot;#,##0.00\)"/>
    <numFmt numFmtId="8" formatCode="&quot;R$ &quot;#,##0.00_);[Red]\(&quot;R$ &quot;#,##0.00\)"/>
    <numFmt numFmtId="43" formatCode="_(* #,##0.00_);_(* \(#,##0.00\);_(* &quot;-&quot;??_);_(@_)"/>
    <numFmt numFmtId="164" formatCode="&quot;R$&quot;#,##0.00_);[Red]\(&quot;R$&quot;#,##0.00\)"/>
    <numFmt numFmtId="165" formatCode="_(&quot;R$&quot;* #,##0.00_);_(&quot;R$&quot;* \(#,##0.00\);_(&quot;R$&quot;* &quot;-&quot;??_);_(@_)"/>
    <numFmt numFmtId="166" formatCode="_-&quot;R$&quot;\ * #,##0.00_-;\-&quot;R$&quot;\ * #,##0.00_-;_-&quot;R$&quot;\ * &quot;-&quot;??_-;_-@_-"/>
    <numFmt numFmtId="167" formatCode="_-* #,##0.00_-;\-* #,##0.00_-;_-* &quot;-&quot;??_-;_-@_-"/>
    <numFmt numFmtId="168" formatCode="_-* #,##0_-;\-* #,##0_-;_-* &quot;-&quot;??_-;_-@_-"/>
    <numFmt numFmtId="169" formatCode="0.0000%"/>
    <numFmt numFmtId="170" formatCode="0.000000%"/>
    <numFmt numFmtId="171" formatCode="_([$€-2]* #,##0.00_);_([$€-2]* \(#,##0.00\);_([$€-2]* &quot;-&quot;??_)"/>
    <numFmt numFmtId="172" formatCode="&quot;R$&quot;\ #,##0.00;[Red]&quot;R$&quot;\ \-#,##0.00"/>
    <numFmt numFmtId="173" formatCode="_ * #,##0.00_ ;_ * \-#,##0.00_ ;_ * &quot;-&quot;??_ ;_ @_ "/>
    <numFmt numFmtId="174" formatCode="000000"/>
    <numFmt numFmtId="175" formatCode="_ * #,##0.00000_ ;_ * \-#,##0.00000_ ;_ * &quot;-&quot;?????_ ;_ @_ "/>
    <numFmt numFmtId="176" formatCode="_-&quot;R$&quot;\ * #,##0_-;\-&quot;R$&quot;\ * #,##0_-;_-&quot;R$&quot;\ * &quot;-&quot;??_-;_-@_-"/>
    <numFmt numFmtId="177" formatCode="&quot;R$ &quot;#,##0.00"/>
    <numFmt numFmtId="178" formatCode="##&quot; meses&quot;"/>
    <numFmt numFmtId="179" formatCode="0.000%"/>
    <numFmt numFmtId="180" formatCode="0.0%"/>
    <numFmt numFmtId="181" formatCode="0.00000%"/>
    <numFmt numFmtId="182" formatCode="_(* #,##0.00000_);_(* \(#,##0.00000\);_(* &quot;-&quot;??_);_(@_)"/>
    <numFmt numFmtId="183" formatCode="_-&quot;R$&quot;* #,##0.00_-;\-&quot;R$&quot;* #,##0.00_-;_-&quot;R$&quot;* &quot;-&quot;??_-;_-@_-"/>
    <numFmt numFmtId="184" formatCode="[$-416]mmm\-yy;@"/>
  </numFmts>
  <fonts count="10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i/>
      <sz val="10"/>
      <name val="Arial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0"/>
      <color indexed="8"/>
      <name val="Verdana"/>
      <family val="2"/>
    </font>
    <font>
      <sz val="10"/>
      <color indexed="9"/>
      <name val="Arial"/>
      <family val="2"/>
    </font>
    <font>
      <sz val="18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14"/>
      <color indexed="9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0"/>
      <color rgb="FF990099"/>
      <name val="Arial"/>
      <family val="2"/>
    </font>
    <font>
      <b/>
      <sz val="10"/>
      <color rgb="FF990099"/>
      <name val="Arial"/>
      <family val="2"/>
    </font>
    <font>
      <b/>
      <sz val="14"/>
      <name val="Tahoma"/>
      <family val="2"/>
    </font>
    <font>
      <b/>
      <sz val="12"/>
      <color rgb="FF990099"/>
      <name val="Arial"/>
      <family val="2"/>
    </font>
    <font>
      <sz val="10"/>
      <name val="Tahoma"/>
      <family val="2"/>
    </font>
    <font>
      <sz val="20"/>
      <name val="Tahoma"/>
      <family val="2"/>
    </font>
    <font>
      <b/>
      <sz val="16"/>
      <name val="Tahoma"/>
      <family val="2"/>
    </font>
    <font>
      <b/>
      <sz val="12"/>
      <color indexed="43"/>
      <name val="Tahoma"/>
      <family val="2"/>
    </font>
    <font>
      <b/>
      <sz val="18"/>
      <color theme="0"/>
      <name val="Tahoma"/>
      <family val="2"/>
    </font>
    <font>
      <sz val="10"/>
      <color indexed="9"/>
      <name val="Tahoma"/>
      <family val="2"/>
    </font>
    <font>
      <sz val="10"/>
      <color rgb="FFFF0000"/>
      <name val="Tahoma"/>
      <family val="2"/>
    </font>
    <font>
      <b/>
      <sz val="15"/>
      <color indexed="16"/>
      <name val="Tahoma"/>
      <family val="2"/>
    </font>
    <font>
      <sz val="10"/>
      <color theme="1"/>
      <name val="Tahoma"/>
      <family val="2"/>
    </font>
    <font>
      <b/>
      <sz val="24"/>
      <color theme="1"/>
      <name val="Tahoma"/>
      <family val="2"/>
    </font>
    <font>
      <b/>
      <sz val="12"/>
      <name val="Tahoma"/>
      <family val="2"/>
    </font>
    <font>
      <b/>
      <sz val="10"/>
      <color theme="0"/>
      <name val="Tahoma"/>
      <family val="2"/>
    </font>
    <font>
      <b/>
      <sz val="20"/>
      <name val="Tahoma"/>
      <family val="2"/>
    </font>
    <font>
      <b/>
      <sz val="22"/>
      <name val="Tahoma"/>
      <family val="2"/>
    </font>
    <font>
      <b/>
      <sz val="10"/>
      <name val="Tahoma"/>
      <family val="2"/>
    </font>
    <font>
      <b/>
      <sz val="16"/>
      <color rgb="FF990099"/>
      <name val="Tahoma"/>
      <family val="2"/>
    </font>
    <font>
      <b/>
      <sz val="10"/>
      <color rgb="FF990099"/>
      <name val="Tahoma"/>
      <family val="2"/>
    </font>
    <font>
      <sz val="16"/>
      <name val="Tahoma"/>
      <family val="2"/>
    </font>
    <font>
      <b/>
      <sz val="16"/>
      <color rgb="FF7D0078"/>
      <name val="Tahoma"/>
      <family val="2"/>
    </font>
    <font>
      <b/>
      <sz val="16"/>
      <color theme="0"/>
      <name val="Tahoma"/>
      <family val="2"/>
    </font>
    <font>
      <sz val="10"/>
      <color indexed="53"/>
      <name val="Tahoma"/>
      <family val="2"/>
    </font>
    <font>
      <b/>
      <sz val="20"/>
      <color rgb="FF990099"/>
      <name val="Tahoma"/>
      <family val="2"/>
    </font>
    <font>
      <b/>
      <sz val="20"/>
      <color theme="1"/>
      <name val="Tahoma"/>
      <family val="2"/>
    </font>
    <font>
      <sz val="16"/>
      <color rgb="FF990099"/>
      <name val="Tahoma"/>
      <family val="2"/>
    </font>
    <font>
      <sz val="16"/>
      <color indexed="10"/>
      <name val="Tahoma"/>
      <family val="2"/>
    </font>
    <font>
      <b/>
      <sz val="18"/>
      <name val="Tahoma"/>
      <family val="2"/>
    </font>
    <font>
      <b/>
      <sz val="16"/>
      <color indexed="10"/>
      <name val="Tahoma"/>
      <family val="2"/>
    </font>
    <font>
      <sz val="10"/>
      <color rgb="FF990099"/>
      <name val="Tahoma"/>
      <family val="2"/>
    </font>
    <font>
      <sz val="10"/>
      <color theme="0"/>
      <name val="Tahoma"/>
      <family val="2"/>
    </font>
    <font>
      <b/>
      <sz val="16"/>
      <color indexed="60"/>
      <name val="Tahoma"/>
      <family val="2"/>
    </font>
    <font>
      <b/>
      <sz val="18"/>
      <color rgb="FF990099"/>
      <name val="Tahoma"/>
      <family val="2"/>
    </font>
    <font>
      <sz val="12"/>
      <color rgb="FF990099"/>
      <name val="Tahoma"/>
      <family val="2"/>
    </font>
    <font>
      <sz val="23"/>
      <name val="Tahoma"/>
      <family val="2"/>
    </font>
    <font>
      <b/>
      <sz val="12"/>
      <color rgb="FF990099"/>
      <name val="Tahoma"/>
      <family val="2"/>
    </font>
    <font>
      <sz val="18"/>
      <color indexed="9"/>
      <name val="Tahoma"/>
      <family val="2"/>
    </font>
    <font>
      <b/>
      <sz val="16"/>
      <color rgb="FFFF0000"/>
      <name val="Tahoma"/>
      <family val="2"/>
    </font>
    <font>
      <b/>
      <sz val="10"/>
      <color indexed="9"/>
      <name val="Tahoma"/>
      <family val="2"/>
    </font>
    <font>
      <b/>
      <sz val="18"/>
      <color theme="1"/>
      <name val="Tahoma"/>
      <family val="2"/>
    </font>
    <font>
      <b/>
      <sz val="12"/>
      <color indexed="10"/>
      <name val="Tahoma"/>
      <family val="2"/>
    </font>
    <font>
      <sz val="12"/>
      <name val="Tahoma"/>
      <family val="2"/>
    </font>
    <font>
      <b/>
      <sz val="15"/>
      <name val="Tahoma"/>
      <family val="2"/>
    </font>
    <font>
      <b/>
      <sz val="15"/>
      <color indexed="10"/>
      <name val="Tahoma"/>
      <family val="2"/>
    </font>
    <font>
      <b/>
      <sz val="36"/>
      <color rgb="FFFF0000"/>
      <name val="Tahoma"/>
      <family val="2"/>
    </font>
    <font>
      <b/>
      <sz val="15"/>
      <color rgb="FFFF0000"/>
      <name val="Tahoma"/>
      <family val="2"/>
    </font>
    <font>
      <b/>
      <sz val="12"/>
      <color rgb="FFFF0000"/>
      <name val="Tahoma"/>
      <family val="2"/>
    </font>
    <font>
      <b/>
      <sz val="10"/>
      <color rgb="FFFF0000"/>
      <name val="Tahoma"/>
      <family val="2"/>
    </font>
    <font>
      <sz val="12"/>
      <color rgb="FFFF0000"/>
      <name val="Tahoma"/>
      <family val="2"/>
    </font>
    <font>
      <b/>
      <sz val="12"/>
      <color theme="1"/>
      <name val="Tahoma"/>
      <family val="2"/>
    </font>
    <font>
      <b/>
      <sz val="14"/>
      <color indexed="9"/>
      <name val="Tahoma"/>
      <family val="2"/>
    </font>
    <font>
      <sz val="10"/>
      <color indexed="51"/>
      <name val="Tahoma"/>
      <family val="2"/>
    </font>
    <font>
      <sz val="14"/>
      <name val="Tahoma"/>
      <family val="2"/>
    </font>
    <font>
      <sz val="10"/>
      <color indexed="10"/>
      <name val="Tahoma"/>
      <family val="2"/>
    </font>
    <font>
      <sz val="15"/>
      <name val="Tahoma"/>
      <family val="2"/>
    </font>
    <font>
      <b/>
      <sz val="20"/>
      <color theme="0"/>
      <name val="Tahoma"/>
      <family val="2"/>
    </font>
    <font>
      <sz val="11"/>
      <name val="Tahoma"/>
      <family val="2"/>
    </font>
    <font>
      <sz val="16"/>
      <color theme="0"/>
      <name val="Tahoma"/>
      <family val="2"/>
    </font>
    <font>
      <b/>
      <sz val="15"/>
      <color rgb="FF990099"/>
      <name val="Tahoma"/>
      <family val="2"/>
    </font>
    <font>
      <b/>
      <sz val="11"/>
      <color rgb="FF990099"/>
      <name val="Tahoma"/>
      <family val="2"/>
    </font>
    <font>
      <sz val="14"/>
      <color rgb="FF990099"/>
      <name val="Arial"/>
      <family val="2"/>
    </font>
    <font>
      <sz val="14"/>
      <color indexed="22"/>
      <name val="Arial"/>
      <family val="2"/>
    </font>
    <font>
      <b/>
      <sz val="20"/>
      <color rgb="FFFF0000"/>
      <name val="Tahoma"/>
      <family val="2"/>
    </font>
    <font>
      <sz val="10"/>
      <color rgb="FFFF0000"/>
      <name val="Arial"/>
      <family val="2"/>
    </font>
    <font>
      <b/>
      <sz val="14"/>
      <color theme="1"/>
      <name val="Tahoma"/>
      <family val="2"/>
    </font>
    <font>
      <b/>
      <sz val="26"/>
      <color rgb="FF990099"/>
      <name val="Tahoma"/>
      <family val="2"/>
    </font>
    <font>
      <b/>
      <sz val="10"/>
      <color theme="1"/>
      <name val="Tahoma"/>
      <family val="2"/>
    </font>
    <font>
      <sz val="10"/>
      <color theme="0"/>
      <name val="Arial"/>
      <family val="2"/>
    </font>
    <font>
      <b/>
      <sz val="16"/>
      <color rgb="FF990099"/>
      <name val="Arial"/>
      <family val="2"/>
    </font>
    <font>
      <sz val="11"/>
      <color theme="1"/>
      <name val="Arial"/>
      <family val="2"/>
    </font>
    <font>
      <sz val="10"/>
      <color theme="0" tint="-0.1499984740745262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27"/>
      </patternFill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3399"/>
        <bgColor indexed="64"/>
      </patternFill>
    </fill>
    <fill>
      <patternFill patternType="solid">
        <fgColor rgb="FF990099"/>
        <bgColor indexed="27"/>
      </patternFill>
    </fill>
    <fill>
      <patternFill patternType="solid">
        <fgColor rgb="FF990099"/>
        <bgColor indexed="64"/>
      </patternFill>
    </fill>
    <fill>
      <patternFill patternType="solid">
        <fgColor rgb="FFB3FFFF"/>
        <bgColor indexed="64"/>
      </patternFill>
    </fill>
    <fill>
      <patternFill patternType="solid">
        <fgColor rgb="FFB3FFFF"/>
        <bgColor indexed="27"/>
      </patternFill>
    </fill>
    <fill>
      <patternFill patternType="solid">
        <fgColor indexed="23"/>
        <bgColor indexed="64"/>
      </patternFill>
    </fill>
  </fills>
  <borders count="1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16"/>
      </left>
      <right style="medium">
        <color indexed="16"/>
      </right>
      <top style="medium">
        <color indexed="16"/>
      </top>
      <bottom style="medium">
        <color indexed="16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23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medium">
        <color indexed="9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16"/>
      </left>
      <right style="medium">
        <color indexed="16"/>
      </right>
      <top style="medium">
        <color indexed="16"/>
      </top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medium">
        <color indexed="16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/>
      <top/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64"/>
      </left>
      <right/>
      <top style="thin">
        <color indexed="23"/>
      </top>
      <bottom style="thin">
        <color indexed="64"/>
      </bottom>
      <diagonal/>
    </border>
    <border>
      <left/>
      <right/>
      <top style="thin">
        <color indexed="23"/>
      </top>
      <bottom style="thin">
        <color indexed="64"/>
      </bottom>
      <diagonal/>
    </border>
    <border>
      <left/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ck">
        <color rgb="FF990099"/>
      </left>
      <right style="thick">
        <color rgb="FF990099"/>
      </right>
      <top style="thick">
        <color rgb="FF990099"/>
      </top>
      <bottom style="thick">
        <color rgb="FF990099"/>
      </bottom>
      <diagonal/>
    </border>
    <border>
      <left style="medium">
        <color rgb="FF990099"/>
      </left>
      <right/>
      <top style="medium">
        <color rgb="FF990099"/>
      </top>
      <bottom style="medium">
        <color rgb="FF990099"/>
      </bottom>
      <diagonal/>
    </border>
    <border>
      <left/>
      <right/>
      <top style="medium">
        <color rgb="FF990099"/>
      </top>
      <bottom style="medium">
        <color rgb="FF990099"/>
      </bottom>
      <diagonal/>
    </border>
    <border>
      <left/>
      <right style="medium">
        <color rgb="FF990099"/>
      </right>
      <top style="medium">
        <color rgb="FF990099"/>
      </top>
      <bottom style="medium">
        <color rgb="FF990099"/>
      </bottom>
      <diagonal/>
    </border>
    <border>
      <left/>
      <right/>
      <top style="hair">
        <color rgb="FF990099"/>
      </top>
      <bottom/>
      <diagonal/>
    </border>
    <border>
      <left style="hair">
        <color rgb="FF990099"/>
      </left>
      <right style="hair">
        <color rgb="FF990099"/>
      </right>
      <top style="hair">
        <color rgb="FF990099"/>
      </top>
      <bottom style="hair">
        <color rgb="FF990099"/>
      </bottom>
      <diagonal/>
    </border>
    <border>
      <left style="hair">
        <color rgb="FF990099"/>
      </left>
      <right style="hair">
        <color rgb="FF990099"/>
      </right>
      <top style="hair">
        <color rgb="FF990099"/>
      </top>
      <bottom/>
      <diagonal/>
    </border>
    <border>
      <left style="hair">
        <color rgb="FF990099"/>
      </left>
      <right style="hair">
        <color rgb="FF990099"/>
      </right>
      <top/>
      <bottom/>
      <diagonal/>
    </border>
    <border>
      <left style="hair">
        <color rgb="FF990099"/>
      </left>
      <right style="hair">
        <color rgb="FF990099"/>
      </right>
      <top/>
      <bottom style="hair">
        <color rgb="FF990099"/>
      </bottom>
      <diagonal/>
    </border>
    <border>
      <left/>
      <right/>
      <top style="hair">
        <color rgb="FF990099"/>
      </top>
      <bottom style="hair">
        <color rgb="FF990099"/>
      </bottom>
      <diagonal/>
    </border>
    <border>
      <left/>
      <right/>
      <top/>
      <bottom style="hair">
        <color rgb="FF990099"/>
      </bottom>
      <diagonal/>
    </border>
    <border>
      <left/>
      <right style="hair">
        <color rgb="FF990099"/>
      </right>
      <top style="hair">
        <color rgb="FF990099"/>
      </top>
      <bottom style="hair">
        <color rgb="FF990099"/>
      </bottom>
      <diagonal/>
    </border>
    <border>
      <left style="hair">
        <color rgb="FF990099"/>
      </left>
      <right/>
      <top style="hair">
        <color rgb="FF990099"/>
      </top>
      <bottom/>
      <diagonal/>
    </border>
    <border>
      <left style="thin">
        <color indexed="64"/>
      </left>
      <right/>
      <top style="thin">
        <color indexed="23"/>
      </top>
      <bottom/>
      <diagonal/>
    </border>
    <border>
      <left style="thin">
        <color indexed="64"/>
      </left>
      <right style="medium">
        <color rgb="FF990099"/>
      </right>
      <top style="medium">
        <color rgb="FF990099"/>
      </top>
      <bottom style="medium">
        <color rgb="FF990099"/>
      </bottom>
      <diagonal/>
    </border>
    <border>
      <left/>
      <right style="hair">
        <color rgb="FF990099"/>
      </right>
      <top style="hair">
        <color rgb="FF990099"/>
      </top>
      <bottom/>
      <diagonal/>
    </border>
    <border>
      <left style="hair">
        <color rgb="FF990099"/>
      </left>
      <right/>
      <top/>
      <bottom style="hair">
        <color rgb="FF990099"/>
      </bottom>
      <diagonal/>
    </border>
    <border>
      <left/>
      <right style="hair">
        <color rgb="FF990099"/>
      </right>
      <top/>
      <bottom style="hair">
        <color rgb="FF990099"/>
      </bottom>
      <diagonal/>
    </border>
    <border>
      <left/>
      <right/>
      <top/>
      <bottom style="medium">
        <color rgb="FF990099"/>
      </bottom>
      <diagonal/>
    </border>
    <border>
      <left style="thin">
        <color rgb="FF990099"/>
      </left>
      <right/>
      <top/>
      <bottom/>
      <diagonal/>
    </border>
    <border>
      <left style="medium">
        <color rgb="FF990099"/>
      </left>
      <right/>
      <top/>
      <bottom/>
      <diagonal/>
    </border>
    <border>
      <left/>
      <right style="medium">
        <color rgb="FF990099"/>
      </right>
      <top/>
      <bottom/>
      <diagonal/>
    </border>
    <border>
      <left/>
      <right/>
      <top style="medium">
        <color rgb="FF990099"/>
      </top>
      <bottom/>
      <diagonal/>
    </border>
    <border>
      <left style="hair">
        <color rgb="FF990099"/>
      </left>
      <right style="medium">
        <color rgb="FF990099"/>
      </right>
      <top/>
      <bottom/>
      <diagonal/>
    </border>
    <border>
      <left style="hair">
        <color rgb="FF990099"/>
      </left>
      <right/>
      <top/>
      <bottom/>
      <diagonal/>
    </border>
    <border>
      <left style="hair">
        <color rgb="FF990099"/>
      </left>
      <right/>
      <top style="hair">
        <color rgb="FF990099"/>
      </top>
      <bottom style="hair">
        <color rgb="FF990099"/>
      </bottom>
      <diagonal/>
    </border>
    <border>
      <left/>
      <right style="thin">
        <color indexed="64"/>
      </right>
      <top style="medium">
        <color rgb="FF990099"/>
      </top>
      <bottom style="medium">
        <color rgb="FF990099"/>
      </bottom>
      <diagonal/>
    </border>
    <border>
      <left style="medium">
        <color rgb="FF990099"/>
      </left>
      <right/>
      <top style="medium">
        <color rgb="FF990099"/>
      </top>
      <bottom/>
      <diagonal/>
    </border>
    <border>
      <left style="medium">
        <color rgb="FF990099"/>
      </left>
      <right/>
      <top/>
      <bottom style="medium">
        <color rgb="FF990099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/>
      <right/>
      <top style="hair">
        <color indexed="64"/>
      </top>
      <bottom/>
      <diagonal/>
    </border>
  </borders>
  <cellStyleXfs count="13">
    <xf numFmtId="0" fontId="0" fillId="0" borderId="0"/>
    <xf numFmtId="171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10" fillId="0" borderId="2" applyNumberFormat="0" applyFill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3" fontId="1" fillId="0" borderId="0" applyFont="0" applyFill="0" applyBorder="0" applyAlignment="0" applyProtection="0"/>
  </cellStyleXfs>
  <cellXfs count="117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10" fontId="1" fillId="0" borderId="3" xfId="4" applyNumberFormat="1" applyBorder="1" applyAlignment="1">
      <alignment horizontal="center"/>
    </xf>
    <xf numFmtId="0" fontId="0" fillId="0" borderId="0" xfId="0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right" vertical="center"/>
    </xf>
    <xf numFmtId="9" fontId="0" fillId="3" borderId="3" xfId="0" applyNumberForma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3" borderId="3" xfId="0" applyFill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vertical="center" wrapText="1"/>
    </xf>
    <xf numFmtId="167" fontId="1" fillId="0" borderId="3" xfId="10" applyNumberFormat="1" applyBorder="1" applyAlignment="1">
      <alignment horizontal="center" vertical="center"/>
    </xf>
    <xf numFmtId="167" fontId="1" fillId="0" borderId="3" xfId="10" applyNumberFormat="1" applyBorder="1" applyAlignment="1">
      <alignment horizontal="center" vertical="center" wrapText="1"/>
    </xf>
    <xf numFmtId="167" fontId="1" fillId="0" borderId="3" xfId="10" applyNumberFormat="1" applyBorder="1" applyAlignment="1">
      <alignment vertical="center" wrapText="1"/>
    </xf>
    <xf numFmtId="14" fontId="0" fillId="0" borderId="3" xfId="0" applyNumberFormat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3" xfId="0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right" vertical="center"/>
    </xf>
    <xf numFmtId="167" fontId="1" fillId="0" borderId="12" xfId="10" applyNumberFormat="1" applyBorder="1" applyAlignment="1">
      <alignment horizontal="center" vertical="center"/>
    </xf>
    <xf numFmtId="0" fontId="0" fillId="2" borderId="11" xfId="0" applyFill="1" applyBorder="1" applyAlignment="1">
      <alignment horizontal="right" vertical="center" wrapText="1"/>
    </xf>
    <xf numFmtId="167" fontId="1" fillId="0" borderId="12" xfId="10" applyNumberFormat="1" applyBorder="1" applyAlignment="1">
      <alignment horizontal="center" vertical="center" wrapText="1"/>
    </xf>
    <xf numFmtId="167" fontId="1" fillId="0" borderId="12" xfId="10" applyNumberFormat="1" applyBorder="1" applyAlignment="1">
      <alignment vertical="center" wrapText="1"/>
    </xf>
    <xf numFmtId="0" fontId="0" fillId="0" borderId="8" xfId="0" applyBorder="1" applyAlignment="1">
      <alignment horizontal="right" vertical="center"/>
    </xf>
    <xf numFmtId="0" fontId="4" fillId="2" borderId="11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8" xfId="0" applyBorder="1" applyAlignment="1">
      <alignment vertical="center" wrapText="1"/>
    </xf>
    <xf numFmtId="0" fontId="0" fillId="2" borderId="1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14" fontId="0" fillId="0" borderId="14" xfId="0" applyNumberFormat="1" applyBorder="1" applyAlignment="1">
      <alignment vertical="center"/>
    </xf>
    <xf numFmtId="10" fontId="1" fillId="0" borderId="14" xfId="4" applyNumberFormat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68" fontId="4" fillId="2" borderId="3" xfId="10" applyNumberFormat="1" applyFont="1" applyFill="1" applyBorder="1" applyAlignment="1">
      <alignment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left" vertical="center"/>
    </xf>
    <xf numFmtId="0" fontId="0" fillId="3" borderId="0" xfId="0" applyFill="1" applyAlignment="1">
      <alignment vertical="center"/>
    </xf>
    <xf numFmtId="10" fontId="0" fillId="2" borderId="4" xfId="0" applyNumberFormat="1" applyFill="1" applyBorder="1" applyAlignment="1">
      <alignment horizontal="right" vertical="center"/>
    </xf>
    <xf numFmtId="0" fontId="4" fillId="2" borderId="16" xfId="0" applyFont="1" applyFill="1" applyBorder="1" applyAlignment="1">
      <alignment horizontal="center" vertical="center"/>
    </xf>
    <xf numFmtId="43" fontId="0" fillId="2" borderId="4" xfId="0" applyNumberFormat="1" applyFill="1" applyBorder="1" applyAlignment="1">
      <alignment vertical="center"/>
    </xf>
    <xf numFmtId="10" fontId="1" fillId="2" borderId="3" xfId="4" applyNumberFormat="1" applyFill="1" applyBorder="1" applyAlignment="1">
      <alignment horizontal="center" vertical="center"/>
    </xf>
    <xf numFmtId="9" fontId="1" fillId="2" borderId="3" xfId="4" applyNumberFormat="1" applyFill="1" applyBorder="1" applyAlignment="1">
      <alignment horizontal="center" vertical="center"/>
    </xf>
    <xf numFmtId="168" fontId="1" fillId="2" borderId="3" xfId="10" applyNumberFormat="1" applyFill="1" applyBorder="1" applyAlignment="1">
      <alignment vertical="center"/>
    </xf>
    <xf numFmtId="0" fontId="0" fillId="0" borderId="0" xfId="0" applyFill="1" applyBorder="1" applyAlignment="1" applyProtection="1"/>
    <xf numFmtId="0" fontId="0" fillId="0" borderId="0" xfId="0" applyBorder="1" applyAlignment="1">
      <alignment horizontal="left" vertical="center"/>
    </xf>
    <xf numFmtId="167" fontId="0" fillId="0" borderId="0" xfId="10" applyFont="1" applyBorder="1" applyAlignment="1">
      <alignment horizontal="left" vertical="center"/>
    </xf>
    <xf numFmtId="14" fontId="0" fillId="2" borderId="3" xfId="0" applyNumberForma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 wrapText="1"/>
    </xf>
    <xf numFmtId="0" fontId="0" fillId="2" borderId="3" xfId="10" applyNumberFormat="1" applyFont="1" applyFill="1" applyBorder="1" applyAlignment="1">
      <alignment horizontal="center" vertical="center"/>
    </xf>
    <xf numFmtId="167" fontId="0" fillId="0" borderId="19" xfId="10" applyNumberFormat="1" applyFont="1" applyFill="1" applyBorder="1" applyAlignment="1" applyProtection="1">
      <alignment vertical="center"/>
    </xf>
    <xf numFmtId="10" fontId="0" fillId="0" borderId="20" xfId="4" applyNumberFormat="1" applyFont="1" applyFill="1" applyBorder="1" applyAlignment="1" applyProtection="1">
      <alignment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vertical="center"/>
    </xf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left" vertical="center"/>
    </xf>
    <xf numFmtId="168" fontId="0" fillId="4" borderId="3" xfId="10" applyNumberFormat="1" applyFont="1" applyFill="1" applyBorder="1" applyAlignment="1">
      <alignment horizontal="left" vertical="center"/>
    </xf>
    <xf numFmtId="14" fontId="0" fillId="4" borderId="3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left" vertical="center" wrapText="1"/>
    </xf>
    <xf numFmtId="168" fontId="0" fillId="4" borderId="3" xfId="10" applyNumberFormat="1" applyFont="1" applyFill="1" applyBorder="1" applyAlignment="1">
      <alignment horizontal="left" vertical="center" wrapText="1"/>
    </xf>
    <xf numFmtId="167" fontId="0" fillId="4" borderId="3" xfId="10" applyFont="1" applyFill="1" applyBorder="1" applyAlignment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4" xfId="0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7" fillId="0" borderId="0" xfId="0" applyFont="1" applyAlignment="1" applyProtection="1">
      <alignment horizontal="center" vertical="center" wrapText="1"/>
    </xf>
    <xf numFmtId="168" fontId="0" fillId="0" borderId="0" xfId="10" applyNumberFormat="1" applyFont="1" applyAlignment="1" applyProtection="1">
      <alignment vertical="center" wrapText="1"/>
    </xf>
    <xf numFmtId="10" fontId="0" fillId="0" borderId="0" xfId="4" applyNumberFormat="1" applyFont="1" applyAlignment="1" applyProtection="1">
      <alignment vertical="center" wrapText="1"/>
    </xf>
    <xf numFmtId="168" fontId="4" fillId="0" borderId="29" xfId="10" applyNumberFormat="1" applyFont="1" applyBorder="1" applyAlignment="1" applyProtection="1">
      <alignment horizontal="center" vertical="center" wrapText="1"/>
    </xf>
    <xf numFmtId="168" fontId="0" fillId="0" borderId="3" xfId="10" applyNumberFormat="1" applyFont="1" applyBorder="1" applyAlignment="1" applyProtection="1">
      <alignment horizontal="center" vertical="center" wrapText="1"/>
    </xf>
    <xf numFmtId="10" fontId="0" fillId="0" borderId="3" xfId="4" applyNumberFormat="1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168" fontId="0" fillId="5" borderId="20" xfId="10" applyNumberFormat="1" applyFont="1" applyFill="1" applyBorder="1" applyAlignment="1" applyProtection="1">
      <alignment horizontal="center" vertical="center" wrapText="1"/>
    </xf>
    <xf numFmtId="167" fontId="5" fillId="0" borderId="3" xfId="10" applyFont="1" applyBorder="1" applyAlignment="1" applyProtection="1">
      <alignment vertical="center" wrapText="1"/>
    </xf>
    <xf numFmtId="168" fontId="5" fillId="0" borderId="3" xfId="10" applyNumberFormat="1" applyFont="1" applyBorder="1" applyAlignment="1" applyProtection="1">
      <alignment vertical="center" wrapText="1"/>
    </xf>
    <xf numFmtId="168" fontId="1" fillId="5" borderId="3" xfId="10" applyNumberFormat="1" applyFill="1" applyBorder="1" applyAlignment="1" applyProtection="1">
      <alignment vertical="center" wrapText="1"/>
    </xf>
    <xf numFmtId="168" fontId="1" fillId="0" borderId="20" xfId="10" applyNumberFormat="1" applyFill="1" applyBorder="1" applyAlignment="1" applyProtection="1">
      <alignment vertical="center" wrapText="1"/>
    </xf>
    <xf numFmtId="167" fontId="2" fillId="7" borderId="30" xfId="10" applyFont="1" applyFill="1" applyBorder="1" applyAlignment="1" applyProtection="1">
      <alignment horizontal="center" vertical="center"/>
    </xf>
    <xf numFmtId="167" fontId="2" fillId="7" borderId="31" xfId="10" applyFont="1" applyFill="1" applyBorder="1" applyAlignment="1" applyProtection="1">
      <alignment horizontal="center" vertical="center"/>
    </xf>
    <xf numFmtId="167" fontId="2" fillId="7" borderId="32" xfId="10" applyFont="1" applyFill="1" applyBorder="1" applyAlignment="1" applyProtection="1">
      <alignment horizontal="center" vertical="center"/>
    </xf>
    <xf numFmtId="167" fontId="2" fillId="7" borderId="6" xfId="10" applyFont="1" applyFill="1" applyBorder="1" applyAlignment="1" applyProtection="1">
      <alignment horizontal="center" vertical="center"/>
    </xf>
    <xf numFmtId="167" fontId="2" fillId="7" borderId="33" xfId="10" applyFont="1" applyFill="1" applyBorder="1" applyAlignment="1" applyProtection="1">
      <alignment horizontal="center" vertical="center"/>
    </xf>
    <xf numFmtId="0" fontId="15" fillId="8" borderId="15" xfId="0" applyFont="1" applyFill="1" applyBorder="1" applyAlignment="1" applyProtection="1">
      <alignment horizontal="center" vertical="center"/>
    </xf>
    <xf numFmtId="9" fontId="4" fillId="0" borderId="0" xfId="4" applyFont="1" applyAlignment="1" applyProtection="1">
      <alignment vertical="center" wrapText="1"/>
    </xf>
    <xf numFmtId="168" fontId="9" fillId="0" borderId="3" xfId="10" applyNumberFormat="1" applyFont="1" applyBorder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167" fontId="0" fillId="0" borderId="11" xfId="10" applyFont="1" applyBorder="1" applyAlignment="1" applyProtection="1">
      <alignment vertical="center"/>
    </xf>
    <xf numFmtId="167" fontId="0" fillId="0" borderId="3" xfId="10" applyFont="1" applyBorder="1" applyAlignment="1" applyProtection="1">
      <alignment vertical="center"/>
    </xf>
    <xf numFmtId="167" fontId="0" fillId="0" borderId="12" xfId="10" applyFont="1" applyBorder="1" applyAlignment="1" applyProtection="1">
      <alignment horizontal="center" vertical="center"/>
    </xf>
    <xf numFmtId="167" fontId="0" fillId="0" borderId="33" xfId="10" applyFont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34" xfId="0" applyFill="1" applyBorder="1" applyAlignment="1" applyProtection="1">
      <alignment vertical="center"/>
    </xf>
    <xf numFmtId="0" fontId="0" fillId="0" borderId="35" xfId="0" applyFill="1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0" fillId="5" borderId="36" xfId="0" applyFill="1" applyBorder="1" applyAlignment="1" applyProtection="1">
      <alignment vertical="center"/>
    </xf>
    <xf numFmtId="168" fontId="0" fillId="0" borderId="3" xfId="10" applyNumberFormat="1" applyFont="1" applyBorder="1" applyAlignment="1" applyProtection="1">
      <alignment vertical="center" wrapText="1"/>
    </xf>
    <xf numFmtId="0" fontId="0" fillId="0" borderId="5" xfId="0" applyBorder="1" applyAlignment="1" applyProtection="1">
      <alignment vertical="center"/>
    </xf>
    <xf numFmtId="0" fontId="0" fillId="0" borderId="37" xfId="0" applyBorder="1" applyAlignment="1" applyProtection="1">
      <alignment vertical="center"/>
    </xf>
    <xf numFmtId="168" fontId="1" fillId="0" borderId="3" xfId="10" applyNumberFormat="1" applyBorder="1" applyAlignment="1" applyProtection="1">
      <alignment vertical="center" wrapText="1"/>
    </xf>
    <xf numFmtId="0" fontId="0" fillId="0" borderId="17" xfId="0" applyBorder="1" applyAlignment="1" applyProtection="1">
      <alignment vertical="center"/>
    </xf>
    <xf numFmtId="0" fontId="0" fillId="0" borderId="38" xfId="0" applyBorder="1" applyAlignment="1" applyProtection="1">
      <alignment vertical="center"/>
    </xf>
    <xf numFmtId="167" fontId="0" fillId="0" borderId="3" xfId="10" applyFont="1" applyBorder="1" applyAlignment="1" applyProtection="1">
      <alignment vertical="center" wrapText="1"/>
    </xf>
    <xf numFmtId="167" fontId="0" fillId="0" borderId="12" xfId="10" applyFont="1" applyBorder="1" applyAlignment="1" applyProtection="1">
      <alignment vertical="center"/>
    </xf>
    <xf numFmtId="167" fontId="0" fillId="0" borderId="33" xfId="10" applyFont="1" applyBorder="1" applyAlignment="1" applyProtection="1">
      <alignment vertical="center"/>
    </xf>
    <xf numFmtId="0" fontId="0" fillId="0" borderId="30" xfId="0" applyBorder="1" applyAlignment="1" applyProtection="1">
      <alignment vertical="center"/>
    </xf>
    <xf numFmtId="0" fontId="0" fillId="0" borderId="32" xfId="0" applyBorder="1" applyAlignment="1" applyProtection="1">
      <alignment vertical="center"/>
    </xf>
    <xf numFmtId="0" fontId="0" fillId="0" borderId="3" xfId="0" applyBorder="1" applyAlignment="1" applyProtection="1">
      <alignment vertical="center" wrapText="1"/>
    </xf>
    <xf numFmtId="0" fontId="0" fillId="0" borderId="3" xfId="0" applyBorder="1" applyAlignment="1" applyProtection="1">
      <alignment horizontal="right" vertical="center" wrapText="1"/>
    </xf>
    <xf numFmtId="167" fontId="2" fillId="7" borderId="11" xfId="10" applyFont="1" applyFill="1" applyBorder="1" applyAlignment="1" applyProtection="1">
      <alignment horizontal="center" vertical="center"/>
    </xf>
    <xf numFmtId="167" fontId="2" fillId="7" borderId="3" xfId="10" applyFont="1" applyFill="1" applyBorder="1" applyAlignment="1" applyProtection="1">
      <alignment horizontal="center" vertical="center"/>
    </xf>
    <xf numFmtId="167" fontId="2" fillId="7" borderId="12" xfId="10" applyFont="1" applyFill="1" applyBorder="1" applyAlignment="1" applyProtection="1">
      <alignment horizontal="center" vertical="center"/>
    </xf>
    <xf numFmtId="0" fontId="0" fillId="0" borderId="36" xfId="0" applyBorder="1" applyAlignment="1" applyProtection="1">
      <alignment vertical="center"/>
    </xf>
    <xf numFmtId="9" fontId="0" fillId="3" borderId="11" xfId="0" applyNumberFormat="1" applyFill="1" applyBorder="1" applyAlignment="1" applyProtection="1">
      <alignment horizontal="center" vertical="center"/>
    </xf>
    <xf numFmtId="9" fontId="0" fillId="3" borderId="3" xfId="0" applyNumberFormat="1" applyFill="1" applyBorder="1" applyAlignment="1" applyProtection="1">
      <alignment horizontal="center" vertical="center"/>
    </xf>
    <xf numFmtId="9" fontId="0" fillId="3" borderId="33" xfId="0" applyNumberFormat="1" applyFill="1" applyBorder="1" applyAlignment="1" applyProtection="1">
      <alignment vertical="center"/>
    </xf>
    <xf numFmtId="168" fontId="0" fillId="0" borderId="3" xfId="10" applyNumberFormat="1" applyFont="1" applyBorder="1" applyAlignment="1" applyProtection="1">
      <alignment horizontal="right" vertical="center" wrapText="1"/>
    </xf>
    <xf numFmtId="168" fontId="0" fillId="5" borderId="20" xfId="10" applyNumberFormat="1" applyFont="1" applyFill="1" applyBorder="1" applyAlignment="1" applyProtection="1">
      <alignment vertical="center" wrapText="1"/>
    </xf>
    <xf numFmtId="167" fontId="0" fillId="0" borderId="33" xfId="10" applyFont="1" applyBorder="1" applyAlignment="1" applyProtection="1">
      <alignment vertical="center" wrapText="1"/>
    </xf>
    <xf numFmtId="10" fontId="5" fillId="0" borderId="3" xfId="0" applyNumberFormat="1" applyFont="1" applyBorder="1" applyAlignment="1" applyProtection="1">
      <alignment vertical="center" wrapText="1"/>
    </xf>
    <xf numFmtId="168" fontId="0" fillId="0" borderId="20" xfId="10" applyNumberFormat="1" applyFont="1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168" fontId="0" fillId="0" borderId="0" xfId="10" applyNumberFormat="1" applyFont="1" applyFill="1" applyBorder="1" applyAlignment="1" applyProtection="1">
      <alignment vertical="center"/>
    </xf>
    <xf numFmtId="0" fontId="5" fillId="0" borderId="3" xfId="0" applyFont="1" applyBorder="1" applyAlignment="1" applyProtection="1">
      <alignment vertical="center" wrapText="1"/>
    </xf>
    <xf numFmtId="0" fontId="4" fillId="0" borderId="0" xfId="0" applyFont="1" applyFill="1" applyAlignment="1" applyProtection="1">
      <alignment vertical="center" wrapText="1"/>
    </xf>
    <xf numFmtId="167" fontId="2" fillId="0" borderId="3" xfId="10" applyFont="1" applyFill="1" applyBorder="1" applyAlignment="1" applyProtection="1">
      <alignment vertical="center"/>
    </xf>
    <xf numFmtId="167" fontId="0" fillId="0" borderId="3" xfId="10" applyFont="1" applyFill="1" applyBorder="1" applyAlignment="1" applyProtection="1">
      <alignment vertical="center"/>
    </xf>
    <xf numFmtId="168" fontId="4" fillId="0" borderId="39" xfId="10" applyNumberFormat="1" applyFont="1" applyBorder="1" applyAlignment="1" applyProtection="1">
      <alignment vertical="center" wrapText="1"/>
    </xf>
    <xf numFmtId="9" fontId="0" fillId="0" borderId="3" xfId="0" applyNumberFormat="1" applyFill="1" applyBorder="1" applyAlignment="1" applyProtection="1">
      <alignment vertical="center"/>
    </xf>
    <xf numFmtId="167" fontId="2" fillId="7" borderId="3" xfId="10" applyFont="1" applyFill="1" applyBorder="1" applyAlignment="1" applyProtection="1">
      <alignment vertical="center"/>
    </xf>
    <xf numFmtId="168" fontId="0" fillId="9" borderId="20" xfId="10" applyNumberFormat="1" applyFont="1" applyFill="1" applyBorder="1" applyAlignment="1" applyProtection="1">
      <alignment vertical="center"/>
    </xf>
    <xf numFmtId="167" fontId="0" fillId="0" borderId="3" xfId="0" applyNumberFormat="1" applyBorder="1" applyAlignment="1" applyProtection="1">
      <alignment vertical="center"/>
    </xf>
    <xf numFmtId="43" fontId="0" fillId="0" borderId="3" xfId="0" applyNumberFormat="1" applyBorder="1" applyAlignment="1" applyProtection="1">
      <alignment vertical="center"/>
    </xf>
    <xf numFmtId="167" fontId="2" fillId="7" borderId="20" xfId="10" applyFont="1" applyFill="1" applyBorder="1" applyAlignment="1" applyProtection="1">
      <alignment horizontal="center" vertical="center"/>
    </xf>
    <xf numFmtId="43" fontId="4" fillId="0" borderId="3" xfId="0" applyNumberFormat="1" applyFont="1" applyBorder="1" applyAlignment="1" applyProtection="1">
      <alignment vertical="center" wrapText="1"/>
    </xf>
    <xf numFmtId="167" fontId="5" fillId="0" borderId="3" xfId="0" applyNumberFormat="1" applyFont="1" applyBorder="1" applyAlignment="1" applyProtection="1">
      <alignment vertical="center" wrapText="1"/>
    </xf>
    <xf numFmtId="168" fontId="0" fillId="0" borderId="20" xfId="10" applyNumberFormat="1" applyFont="1" applyBorder="1" applyAlignment="1" applyProtection="1">
      <alignment vertical="center" wrapText="1"/>
    </xf>
    <xf numFmtId="168" fontId="0" fillId="0" borderId="39" xfId="10" applyNumberFormat="1" applyFont="1" applyBorder="1" applyAlignment="1" applyProtection="1">
      <alignment vertical="center" wrapText="1"/>
    </xf>
    <xf numFmtId="0" fontId="0" fillId="0" borderId="0" xfId="0" applyFill="1" applyAlignment="1" applyProtection="1">
      <alignment vertical="center" wrapText="1"/>
    </xf>
    <xf numFmtId="168" fontId="4" fillId="0" borderId="0" xfId="10" applyNumberFormat="1" applyFont="1" applyAlignment="1" applyProtection="1">
      <alignment vertical="center" wrapText="1"/>
    </xf>
    <xf numFmtId="168" fontId="4" fillId="0" borderId="20" xfId="10" applyNumberFormat="1" applyFont="1" applyBorder="1" applyAlignment="1" applyProtection="1">
      <alignment vertical="center" wrapText="1"/>
    </xf>
    <xf numFmtId="168" fontId="4" fillId="5" borderId="20" xfId="10" applyNumberFormat="1" applyFont="1" applyFill="1" applyBorder="1" applyAlignment="1" applyProtection="1">
      <alignment vertical="center" wrapText="1"/>
    </xf>
    <xf numFmtId="0" fontId="4" fillId="5" borderId="3" xfId="0" applyFont="1" applyFill="1" applyBorder="1" applyAlignment="1" applyProtection="1">
      <alignment vertical="center" wrapText="1"/>
    </xf>
    <xf numFmtId="168" fontId="4" fillId="0" borderId="0" xfId="0" applyNumberFormat="1" applyFont="1" applyAlignment="1" applyProtection="1">
      <alignment vertical="center" wrapText="1"/>
    </xf>
    <xf numFmtId="9" fontId="0" fillId="0" borderId="3" xfId="0" applyNumberFormat="1" applyBorder="1" applyAlignment="1" applyProtection="1">
      <alignment vertical="center" wrapText="1"/>
    </xf>
    <xf numFmtId="168" fontId="0" fillId="0" borderId="0" xfId="0" applyNumberFormat="1" applyFill="1" applyAlignment="1" applyProtection="1">
      <alignment vertical="center" wrapText="1"/>
    </xf>
    <xf numFmtId="0" fontId="0" fillId="11" borderId="5" xfId="0" applyFill="1" applyBorder="1" applyAlignment="1">
      <alignment vertical="center"/>
    </xf>
    <xf numFmtId="0" fontId="0" fillId="11" borderId="3" xfId="0" applyFill="1" applyBorder="1" applyAlignment="1">
      <alignment horizontal="right" vertical="center"/>
    </xf>
    <xf numFmtId="14" fontId="0" fillId="11" borderId="3" xfId="0" applyNumberFormat="1" applyFill="1" applyBorder="1" applyAlignment="1">
      <alignment horizontal="center" vertical="center"/>
    </xf>
    <xf numFmtId="167" fontId="1" fillId="11" borderId="3" xfId="10" applyNumberFormat="1" applyFill="1" applyBorder="1" applyAlignment="1">
      <alignment horizontal="center" vertical="center"/>
    </xf>
    <xf numFmtId="167" fontId="1" fillId="11" borderId="3" xfId="10" applyNumberFormat="1" applyFill="1" applyBorder="1" applyAlignment="1">
      <alignment horizontal="center" vertical="center" wrapText="1"/>
    </xf>
    <xf numFmtId="167" fontId="1" fillId="11" borderId="3" xfId="10" applyNumberFormat="1" applyFill="1" applyBorder="1" applyAlignment="1">
      <alignment vertical="center" wrapText="1"/>
    </xf>
    <xf numFmtId="0" fontId="0" fillId="2" borderId="0" xfId="0" applyFill="1" applyBorder="1" applyAlignment="1">
      <alignment horizontal="right" vertical="center"/>
    </xf>
    <xf numFmtId="9" fontId="0" fillId="3" borderId="0" xfId="0" applyNumberFormat="1" applyFill="1" applyBorder="1" applyAlignment="1">
      <alignment horizontal="right" vertical="center"/>
    </xf>
    <xf numFmtId="0" fontId="0" fillId="3" borderId="0" xfId="0" applyFill="1" applyBorder="1" applyAlignment="1">
      <alignment horizontal="right" vertical="center"/>
    </xf>
    <xf numFmtId="0" fontId="0" fillId="4" borderId="4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2" borderId="8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43" xfId="0" applyFill="1" applyBorder="1" applyAlignment="1">
      <alignment vertical="center"/>
    </xf>
    <xf numFmtId="0" fontId="0" fillId="2" borderId="13" xfId="0" applyFill="1" applyBorder="1" applyAlignment="1">
      <alignment horizontal="right" vertical="center"/>
    </xf>
    <xf numFmtId="167" fontId="1" fillId="11" borderId="14" xfId="10" applyNumberFormat="1" applyFill="1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11" borderId="3" xfId="0" applyFill="1" applyBorder="1" applyAlignment="1">
      <alignment horizontal="left" vertical="center"/>
    </xf>
    <xf numFmtId="0" fontId="0" fillId="11" borderId="3" xfId="0" applyFill="1" applyBorder="1" applyAlignment="1">
      <alignment horizontal="left" vertical="center" wrapText="1"/>
    </xf>
    <xf numFmtId="0" fontId="0" fillId="11" borderId="14" xfId="0" applyFill="1" applyBorder="1" applyAlignment="1">
      <alignment horizontal="left" vertical="center"/>
    </xf>
    <xf numFmtId="0" fontId="1" fillId="11" borderId="12" xfId="10" applyNumberFormat="1" applyFill="1" applyBorder="1" applyAlignment="1">
      <alignment horizontal="center" vertical="center"/>
    </xf>
    <xf numFmtId="0" fontId="1" fillId="11" borderId="12" xfId="10" applyNumberForma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right" vertical="center"/>
    </xf>
    <xf numFmtId="0" fontId="1" fillId="11" borderId="36" xfId="10" applyNumberFormat="1" applyFill="1" applyBorder="1" applyAlignment="1">
      <alignment horizontal="center" vertical="center"/>
    </xf>
    <xf numFmtId="0" fontId="4" fillId="11" borderId="3" xfId="0" applyFont="1" applyFill="1" applyBorder="1" applyAlignment="1" applyProtection="1">
      <alignment vertical="center" wrapText="1"/>
    </xf>
    <xf numFmtId="0" fontId="0" fillId="11" borderId="3" xfId="0" applyFill="1" applyBorder="1" applyAlignment="1" applyProtection="1">
      <alignment vertical="center" wrapText="1"/>
    </xf>
    <xf numFmtId="0" fontId="17" fillId="0" borderId="0" xfId="0" applyFont="1" applyAlignment="1" applyProtection="1">
      <alignment vertical="center" wrapText="1"/>
    </xf>
    <xf numFmtId="166" fontId="16" fillId="0" borderId="0" xfId="2" applyFont="1" applyFill="1" applyAlignment="1" applyProtection="1">
      <alignment horizontal="center" vertical="center"/>
    </xf>
    <xf numFmtId="0" fontId="4" fillId="5" borderId="3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vertical="center" wrapText="1"/>
    </xf>
    <xf numFmtId="2" fontId="1" fillId="0" borderId="3" xfId="0" applyNumberFormat="1" applyFont="1" applyBorder="1" applyAlignment="1" applyProtection="1">
      <alignment vertical="center" wrapText="1"/>
    </xf>
    <xf numFmtId="2" fontId="1" fillId="0" borderId="3" xfId="0" applyNumberFormat="1" applyFont="1" applyFill="1" applyBorder="1" applyAlignment="1" applyProtection="1">
      <alignment vertical="center" wrapText="1"/>
    </xf>
    <xf numFmtId="2" fontId="0" fillId="0" borderId="3" xfId="0" applyNumberFormat="1" applyBorder="1" applyAlignment="1" applyProtection="1">
      <alignment vertical="center" wrapText="1"/>
    </xf>
    <xf numFmtId="179" fontId="0" fillId="0" borderId="3" xfId="4" applyNumberFormat="1" applyFont="1" applyBorder="1" applyAlignment="1" applyProtection="1">
      <alignment vertical="center" wrapText="1"/>
    </xf>
    <xf numFmtId="0" fontId="18" fillId="12" borderId="6" xfId="0" applyFont="1" applyFill="1" applyBorder="1" applyAlignment="1">
      <alignment vertical="center"/>
    </xf>
    <xf numFmtId="0" fontId="0" fillId="0" borderId="3" xfId="0" applyBorder="1"/>
    <xf numFmtId="0" fontId="0" fillId="0" borderId="0" xfId="0" applyBorder="1"/>
    <xf numFmtId="0" fontId="0" fillId="0" borderId="0" xfId="0" applyAlignment="1">
      <alignment horizontal="center"/>
    </xf>
    <xf numFmtId="0" fontId="13" fillId="2" borderId="3" xfId="0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Alignment="1" applyProtection="1">
      <alignment horizontal="center" vertical="center" wrapText="1"/>
    </xf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vertical="center" wrapText="1"/>
    </xf>
    <xf numFmtId="10" fontId="0" fillId="0" borderId="0" xfId="0" applyNumberFormat="1"/>
    <xf numFmtId="0" fontId="20" fillId="12" borderId="6" xfId="0" applyFont="1" applyFill="1" applyBorder="1" applyAlignment="1">
      <alignment vertical="center"/>
    </xf>
    <xf numFmtId="180" fontId="0" fillId="0" borderId="3" xfId="0" applyNumberFormat="1" applyBorder="1"/>
    <xf numFmtId="167" fontId="23" fillId="16" borderId="3" xfId="10" applyNumberFormat="1" applyFont="1" applyFill="1" applyBorder="1" applyAlignment="1">
      <alignment horizontal="center" vertical="center" wrapText="1"/>
    </xf>
    <xf numFmtId="167" fontId="23" fillId="16" borderId="3" xfId="10" applyNumberFormat="1" applyFont="1" applyFill="1" applyBorder="1" applyAlignment="1">
      <alignment vertical="center" wrapText="1"/>
    </xf>
    <xf numFmtId="0" fontId="23" fillId="16" borderId="12" xfId="10" applyNumberFormat="1" applyFont="1" applyFill="1" applyBorder="1" applyAlignment="1">
      <alignment horizontal="center" vertical="center"/>
    </xf>
    <xf numFmtId="0" fontId="23" fillId="16" borderId="12" xfId="10" applyNumberFormat="1" applyFont="1" applyFill="1" applyBorder="1" applyAlignment="1">
      <alignment horizontal="center" vertical="center" wrapText="1"/>
    </xf>
    <xf numFmtId="0" fontId="0" fillId="16" borderId="3" xfId="0" applyFill="1" applyBorder="1" applyAlignment="1">
      <alignment horizontal="right" vertical="center"/>
    </xf>
    <xf numFmtId="14" fontId="0" fillId="16" borderId="3" xfId="0" applyNumberFormat="1" applyFill="1" applyBorder="1" applyAlignment="1">
      <alignment horizontal="center" vertical="center"/>
    </xf>
    <xf numFmtId="180" fontId="4" fillId="16" borderId="3" xfId="0" applyNumberFormat="1" applyFont="1" applyFill="1" applyBorder="1" applyAlignment="1" applyProtection="1">
      <alignment vertical="center" wrapText="1"/>
    </xf>
    <xf numFmtId="0" fontId="15" fillId="12" borderId="5" xfId="0" applyFont="1" applyFill="1" applyBorder="1" applyAlignment="1">
      <alignment vertical="center"/>
    </xf>
    <xf numFmtId="167" fontId="23" fillId="17" borderId="3" xfId="10" applyNumberFormat="1" applyFont="1" applyFill="1" applyBorder="1" applyAlignment="1">
      <alignment horizontal="center" vertical="center"/>
    </xf>
    <xf numFmtId="0" fontId="1" fillId="0" borderId="3" xfId="0" applyFont="1" applyBorder="1" applyProtection="1"/>
    <xf numFmtId="0" fontId="0" fillId="18" borderId="6" xfId="0" applyFill="1" applyBorder="1" applyAlignment="1">
      <alignment vertical="center"/>
    </xf>
    <xf numFmtId="0" fontId="1" fillId="11" borderId="3" xfId="0" applyFont="1" applyFill="1" applyBorder="1" applyAlignment="1">
      <alignment horizontal="left" vertical="center"/>
    </xf>
    <xf numFmtId="0" fontId="1" fillId="11" borderId="3" xfId="0" applyFont="1" applyFill="1" applyBorder="1" applyAlignment="1">
      <alignment horizontal="left" vertical="center" wrapText="1"/>
    </xf>
    <xf numFmtId="170" fontId="0" fillId="0" borderId="0" xfId="4" applyNumberFormat="1" applyFont="1"/>
    <xf numFmtId="169" fontId="0" fillId="0" borderId="0" xfId="0" applyNumberFormat="1"/>
    <xf numFmtId="14" fontId="1" fillId="16" borderId="3" xfId="0" applyNumberFormat="1" applyFont="1" applyFill="1" applyBorder="1" applyAlignment="1" applyProtection="1">
      <alignment vertical="center" wrapText="1"/>
    </xf>
    <xf numFmtId="0" fontId="0" fillId="0" borderId="0" xfId="0" applyProtection="1">
      <protection hidden="1"/>
    </xf>
    <xf numFmtId="0" fontId="11" fillId="0" borderId="0" xfId="0" applyFont="1" applyAlignment="1" applyProtection="1">
      <alignment horizontal="centerContinuous"/>
      <protection hidden="1"/>
    </xf>
    <xf numFmtId="0" fontId="0" fillId="0" borderId="0" xfId="0" applyAlignment="1" applyProtection="1">
      <alignment horizontal="centerContinuous"/>
      <protection hidden="1"/>
    </xf>
    <xf numFmtId="22" fontId="12" fillId="0" borderId="0" xfId="0" applyNumberFormat="1" applyFont="1" applyAlignment="1" applyProtection="1">
      <alignment horizontal="center"/>
      <protection hidden="1"/>
    </xf>
    <xf numFmtId="0" fontId="0" fillId="2" borderId="0" xfId="0" applyFill="1" applyProtection="1">
      <protection hidden="1"/>
    </xf>
    <xf numFmtId="0" fontId="0" fillId="0" borderId="46" xfId="0" applyBorder="1" applyProtection="1">
      <protection hidden="1"/>
    </xf>
    <xf numFmtId="0" fontId="0" fillId="0" borderId="47" xfId="0" applyBorder="1" applyProtection="1">
      <protection hidden="1"/>
    </xf>
    <xf numFmtId="0" fontId="0" fillId="14" borderId="47" xfId="0" applyFill="1" applyBorder="1" applyAlignment="1" applyProtection="1">
      <protection hidden="1"/>
    </xf>
    <xf numFmtId="0" fontId="0" fillId="0" borderId="48" xfId="0" applyFill="1" applyBorder="1" applyAlignment="1" applyProtection="1">
      <protection hidden="1"/>
    </xf>
    <xf numFmtId="0" fontId="4" fillId="0" borderId="47" xfId="0" applyFont="1" applyBorder="1" applyProtection="1">
      <protection hidden="1"/>
    </xf>
    <xf numFmtId="22" fontId="4" fillId="0" borderId="47" xfId="0" applyNumberFormat="1" applyFont="1" applyBorder="1" applyAlignment="1" applyProtection="1">
      <alignment horizontal="left"/>
      <protection hidden="1"/>
    </xf>
    <xf numFmtId="22" fontId="12" fillId="0" borderId="48" xfId="0" applyNumberFormat="1" applyFont="1" applyBorder="1" applyAlignment="1" applyProtection="1">
      <alignment horizontal="center"/>
      <protection hidden="1"/>
    </xf>
    <xf numFmtId="0" fontId="0" fillId="0" borderId="49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50" xfId="0" applyBorder="1" applyProtection="1">
      <protection hidden="1"/>
    </xf>
    <xf numFmtId="22" fontId="12" fillId="15" borderId="0" xfId="0" applyNumberFormat="1" applyFont="1" applyFill="1" applyBorder="1" applyAlignment="1" applyProtection="1">
      <alignment horizontal="left"/>
      <protection hidden="1"/>
    </xf>
    <xf numFmtId="22" fontId="12" fillId="15" borderId="50" xfId="0" applyNumberFormat="1" applyFont="1" applyFill="1" applyBorder="1" applyAlignment="1" applyProtection="1">
      <alignment horizontal="center"/>
      <protection hidden="1"/>
    </xf>
    <xf numFmtId="174" fontId="0" fillId="15" borderId="0" xfId="0" applyNumberFormat="1" applyFill="1" applyBorder="1" applyAlignment="1" applyProtection="1">
      <alignment horizontal="center"/>
      <protection hidden="1"/>
    </xf>
    <xf numFmtId="0" fontId="0" fillId="0" borderId="51" xfId="0" applyBorder="1" applyProtection="1">
      <protection hidden="1"/>
    </xf>
    <xf numFmtId="0" fontId="0" fillId="0" borderId="52" xfId="0" applyBorder="1" applyProtection="1">
      <protection hidden="1"/>
    </xf>
    <xf numFmtId="0" fontId="0" fillId="0" borderId="53" xfId="0" applyBorder="1" applyProtection="1">
      <protection hidden="1"/>
    </xf>
    <xf numFmtId="0" fontId="0" fillId="0" borderId="0" xfId="0" applyFill="1" applyBorder="1" applyProtection="1">
      <protection hidden="1"/>
    </xf>
    <xf numFmtId="14" fontId="0" fillId="15" borderId="0" xfId="0" applyNumberFormat="1" applyFill="1" applyBorder="1" applyAlignment="1" applyProtection="1">
      <alignment horizontal="center"/>
      <protection hidden="1"/>
    </xf>
    <xf numFmtId="169" fontId="1" fillId="0" borderId="48" xfId="4" applyNumberFormat="1" applyBorder="1" applyProtection="1">
      <protection hidden="1"/>
    </xf>
    <xf numFmtId="169" fontId="1" fillId="0" borderId="50" xfId="4" applyNumberFormat="1" applyBorder="1" applyProtection="1">
      <protection hidden="1"/>
    </xf>
    <xf numFmtId="22" fontId="12" fillId="0" borderId="0" xfId="0" applyNumberFormat="1" applyFont="1" applyBorder="1" applyAlignment="1" applyProtection="1">
      <alignment horizontal="center"/>
      <protection hidden="1"/>
    </xf>
    <xf numFmtId="22" fontId="12" fillId="0" borderId="50" xfId="0" applyNumberFormat="1" applyFont="1" applyBorder="1" applyAlignment="1" applyProtection="1">
      <alignment horizontal="center"/>
      <protection hidden="1"/>
    </xf>
    <xf numFmtId="167" fontId="0" fillId="0" borderId="51" xfId="10" applyNumberFormat="1" applyFont="1" applyBorder="1" applyProtection="1">
      <protection hidden="1"/>
    </xf>
    <xf numFmtId="167" fontId="0" fillId="0" borderId="53" xfId="10" applyNumberFormat="1" applyFont="1" applyBorder="1" applyProtection="1">
      <protection hidden="1"/>
    </xf>
    <xf numFmtId="22" fontId="12" fillId="0" borderId="52" xfId="0" applyNumberFormat="1" applyFont="1" applyBorder="1" applyAlignment="1" applyProtection="1">
      <alignment horizontal="center"/>
      <protection hidden="1"/>
    </xf>
    <xf numFmtId="22" fontId="12" fillId="0" borderId="53" xfId="0" applyNumberFormat="1" applyFont="1" applyBorder="1" applyAlignment="1" applyProtection="1">
      <alignment horizontal="center"/>
      <protection hidden="1"/>
    </xf>
    <xf numFmtId="0" fontId="0" fillId="0" borderId="47" xfId="0" applyFill="1" applyBorder="1" applyAlignment="1" applyProtection="1">
      <protection hidden="1"/>
    </xf>
    <xf numFmtId="0" fontId="0" fillId="0" borderId="47" xfId="0" applyBorder="1" applyAlignment="1" applyProtection="1">
      <alignment horizontal="center"/>
      <protection hidden="1"/>
    </xf>
    <xf numFmtId="10" fontId="1" fillId="0" borderId="0" xfId="4" applyNumberFormat="1" applyProtection="1">
      <protection hidden="1"/>
    </xf>
    <xf numFmtId="173" fontId="1" fillId="0" borderId="0" xfId="7" applyProtection="1">
      <protection hidden="1"/>
    </xf>
    <xf numFmtId="0" fontId="4" fillId="0" borderId="54" xfId="0" applyFont="1" applyBorder="1" applyAlignment="1" applyProtection="1">
      <alignment horizontal="center"/>
      <protection hidden="1"/>
    </xf>
    <xf numFmtId="0" fontId="4" fillId="0" borderId="55" xfId="0" applyFont="1" applyBorder="1" applyAlignment="1" applyProtection="1">
      <alignment horizontal="center"/>
      <protection hidden="1"/>
    </xf>
    <xf numFmtId="170" fontId="1" fillId="0" borderId="0" xfId="4" applyNumberFormat="1" applyProtection="1">
      <protection hidden="1"/>
    </xf>
    <xf numFmtId="0" fontId="0" fillId="0" borderId="56" xfId="0" applyBorder="1" applyAlignment="1" applyProtection="1">
      <alignment horizontal="center"/>
      <protection hidden="1"/>
    </xf>
    <xf numFmtId="0" fontId="0" fillId="0" borderId="56" xfId="0" applyFill="1" applyBorder="1" applyAlignment="1" applyProtection="1">
      <alignment horizontal="center"/>
      <protection hidden="1"/>
    </xf>
    <xf numFmtId="14" fontId="0" fillId="0" borderId="56" xfId="0" applyNumberFormat="1" applyFill="1" applyBorder="1" applyAlignment="1" applyProtection="1">
      <alignment horizontal="center"/>
      <protection hidden="1"/>
    </xf>
    <xf numFmtId="14" fontId="0" fillId="0" borderId="56" xfId="0" applyNumberFormat="1" applyBorder="1" applyAlignment="1" applyProtection="1">
      <alignment horizontal="center"/>
      <protection hidden="1"/>
    </xf>
    <xf numFmtId="173" fontId="1" fillId="0" borderId="56" xfId="8" applyBorder="1" applyProtection="1">
      <protection hidden="1"/>
    </xf>
    <xf numFmtId="173" fontId="1" fillId="0" borderId="56" xfId="7" applyBorder="1" applyProtection="1">
      <protection hidden="1"/>
    </xf>
    <xf numFmtId="172" fontId="1" fillId="0" borderId="0" xfId="7" applyNumberFormat="1" applyProtection="1">
      <protection hidden="1"/>
    </xf>
    <xf numFmtId="0" fontId="4" fillId="0" borderId="0" xfId="0" applyFont="1" applyProtection="1">
      <protection hidden="1"/>
    </xf>
    <xf numFmtId="173" fontId="1" fillId="0" borderId="56" xfId="7" applyFill="1" applyBorder="1" applyProtection="1">
      <protection hidden="1"/>
    </xf>
    <xf numFmtId="0" fontId="0" fillId="15" borderId="3" xfId="0" applyFill="1" applyBorder="1" applyProtection="1">
      <protection hidden="1"/>
    </xf>
    <xf numFmtId="0" fontId="4" fillId="0" borderId="57" xfId="0" applyFont="1" applyBorder="1" applyProtection="1">
      <protection hidden="1"/>
    </xf>
    <xf numFmtId="173" fontId="4" fillId="0" borderId="58" xfId="0" applyNumberFormat="1" applyFont="1" applyFill="1" applyBorder="1" applyProtection="1">
      <protection hidden="1"/>
    </xf>
    <xf numFmtId="173" fontId="4" fillId="0" borderId="58" xfId="0" applyNumberFormat="1" applyFont="1" applyBorder="1" applyProtection="1">
      <protection hidden="1"/>
    </xf>
    <xf numFmtId="173" fontId="4" fillId="0" borderId="59" xfId="0" applyNumberFormat="1" applyFont="1" applyBorder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0" fillId="0" borderId="3" xfId="0" applyBorder="1" applyProtection="1">
      <protection hidden="1"/>
    </xf>
    <xf numFmtId="0" fontId="0" fillId="4" borderId="3" xfId="0" applyFill="1" applyBorder="1" applyProtection="1">
      <protection hidden="1"/>
    </xf>
    <xf numFmtId="0" fontId="4" fillId="0" borderId="3" xfId="0" applyFont="1" applyBorder="1" applyAlignment="1" applyProtection="1">
      <alignment horizontal="center"/>
      <protection hidden="1"/>
    </xf>
    <xf numFmtId="0" fontId="0" fillId="0" borderId="4" xfId="0" applyBorder="1" applyProtection="1">
      <protection hidden="1"/>
    </xf>
    <xf numFmtId="0" fontId="0" fillId="15" borderId="56" xfId="0" applyFill="1" applyBorder="1" applyAlignment="1" applyProtection="1">
      <alignment horizontal="center"/>
      <protection hidden="1"/>
    </xf>
    <xf numFmtId="14" fontId="0" fillId="15" borderId="56" xfId="0" applyNumberFormat="1" applyFill="1" applyBorder="1" applyAlignment="1" applyProtection="1">
      <alignment horizontal="center"/>
      <protection hidden="1"/>
    </xf>
    <xf numFmtId="173" fontId="1" fillId="15" borderId="56" xfId="8" applyFill="1" applyBorder="1" applyProtection="1">
      <protection hidden="1"/>
    </xf>
    <xf numFmtId="10" fontId="1" fillId="0" borderId="49" xfId="4" applyNumberFormat="1" applyBorder="1" applyProtection="1">
      <protection hidden="1"/>
    </xf>
    <xf numFmtId="10" fontId="1" fillId="0" borderId="27" xfId="4" applyNumberFormat="1" applyBorder="1" applyProtection="1">
      <protection hidden="1"/>
    </xf>
    <xf numFmtId="168" fontId="0" fillId="0" borderId="3" xfId="10" applyNumberFormat="1" applyFont="1" applyBorder="1" applyProtection="1">
      <protection hidden="1"/>
    </xf>
    <xf numFmtId="173" fontId="1" fillId="0" borderId="4" xfId="7" applyBorder="1" applyProtection="1">
      <protection hidden="1"/>
    </xf>
    <xf numFmtId="173" fontId="0" fillId="0" borderId="3" xfId="0" applyNumberFormat="1" applyBorder="1" applyProtection="1">
      <protection hidden="1"/>
    </xf>
    <xf numFmtId="10" fontId="1" fillId="0" borderId="24" xfId="4" applyNumberFormat="1" applyBorder="1" applyProtection="1">
      <protection hidden="1"/>
    </xf>
    <xf numFmtId="173" fontId="1" fillId="15" borderId="56" xfId="7" applyFill="1" applyBorder="1" applyProtection="1">
      <protection hidden="1"/>
    </xf>
    <xf numFmtId="173" fontId="0" fillId="5" borderId="3" xfId="0" applyNumberFormat="1" applyFill="1" applyBorder="1" applyProtection="1">
      <protection hidden="1"/>
    </xf>
    <xf numFmtId="43" fontId="0" fillId="0" borderId="0" xfId="0" applyNumberFormat="1" applyProtection="1">
      <protection hidden="1"/>
    </xf>
    <xf numFmtId="0" fontId="4" fillId="0" borderId="56" xfId="0" applyFont="1" applyFill="1" applyBorder="1" applyAlignment="1" applyProtection="1">
      <alignment horizontal="center"/>
      <protection hidden="1"/>
    </xf>
    <xf numFmtId="14" fontId="4" fillId="0" borderId="56" xfId="0" applyNumberFormat="1" applyFont="1" applyFill="1" applyBorder="1" applyAlignment="1" applyProtection="1">
      <alignment horizontal="center"/>
      <protection hidden="1"/>
    </xf>
    <xf numFmtId="173" fontId="4" fillId="0" borderId="56" xfId="8" applyFont="1" applyFill="1" applyBorder="1" applyProtection="1">
      <protection hidden="1"/>
    </xf>
    <xf numFmtId="173" fontId="4" fillId="0" borderId="56" xfId="7" applyFont="1" applyBorder="1" applyProtection="1">
      <protection hidden="1"/>
    </xf>
    <xf numFmtId="173" fontId="0" fillId="0" borderId="15" xfId="0" applyNumberFormat="1" applyBorder="1" applyProtection="1">
      <protection hidden="1"/>
    </xf>
    <xf numFmtId="173" fontId="4" fillId="0" borderId="3" xfId="0" applyNumberFormat="1" applyFont="1" applyBorder="1" applyProtection="1">
      <protection hidden="1"/>
    </xf>
    <xf numFmtId="173" fontId="0" fillId="0" borderId="7" xfId="0" applyNumberFormat="1" applyBorder="1" applyProtection="1">
      <protection hidden="1"/>
    </xf>
    <xf numFmtId="4" fontId="1" fillId="0" borderId="0" xfId="4" applyNumberFormat="1" applyProtection="1">
      <protection hidden="1"/>
    </xf>
    <xf numFmtId="0" fontId="11" fillId="0" borderId="60" xfId="0" applyFont="1" applyBorder="1" applyAlignment="1" applyProtection="1">
      <alignment horizontal="center"/>
      <protection hidden="1"/>
    </xf>
    <xf numFmtId="173" fontId="0" fillId="0" borderId="60" xfId="0" applyNumberFormat="1" applyBorder="1" applyProtection="1">
      <protection hidden="1"/>
    </xf>
    <xf numFmtId="175" fontId="1" fillId="15" borderId="60" xfId="7" applyNumberFormat="1" applyFill="1" applyBorder="1" applyProtection="1">
      <protection hidden="1"/>
    </xf>
    <xf numFmtId="173" fontId="0" fillId="15" borderId="60" xfId="0" applyNumberFormat="1" applyFill="1" applyBorder="1" applyProtection="1">
      <protection hidden="1"/>
    </xf>
    <xf numFmtId="175" fontId="1" fillId="0" borderId="60" xfId="7" applyNumberFormat="1" applyBorder="1" applyProtection="1">
      <protection hidden="1"/>
    </xf>
    <xf numFmtId="173" fontId="1" fillId="0" borderId="60" xfId="7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173" fontId="0" fillId="0" borderId="0" xfId="0" applyNumberFormat="1" applyBorder="1" applyProtection="1">
      <protection hidden="1"/>
    </xf>
    <xf numFmtId="175" fontId="1" fillId="0" borderId="0" xfId="7" applyNumberFormat="1" applyBorder="1" applyProtection="1">
      <protection hidden="1"/>
    </xf>
    <xf numFmtId="173" fontId="1" fillId="0" borderId="0" xfId="7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173" fontId="1" fillId="0" borderId="50" xfId="7" applyBorder="1" applyProtection="1">
      <protection hidden="1"/>
    </xf>
    <xf numFmtId="173" fontId="0" fillId="0" borderId="50" xfId="0" applyNumberFormat="1" applyBorder="1" applyProtection="1">
      <protection hidden="1"/>
    </xf>
    <xf numFmtId="10" fontId="1" fillId="0" borderId="53" xfId="4" applyNumberFormat="1" applyBorder="1" applyProtection="1">
      <protection hidden="1"/>
    </xf>
    <xf numFmtId="10" fontId="5" fillId="0" borderId="61" xfId="4" applyNumberFormat="1" applyFont="1" applyBorder="1" applyAlignment="1" applyProtection="1">
      <protection hidden="1"/>
    </xf>
    <xf numFmtId="0" fontId="5" fillId="0" borderId="62" xfId="0" applyFont="1" applyBorder="1" applyAlignment="1" applyProtection="1">
      <protection hidden="1"/>
    </xf>
    <xf numFmtId="0" fontId="5" fillId="0" borderId="63" xfId="0" applyFont="1" applyBorder="1" applyAlignment="1" applyProtection="1">
      <protection hidden="1"/>
    </xf>
    <xf numFmtId="0" fontId="5" fillId="0" borderId="63" xfId="0" applyFont="1" applyBorder="1" applyAlignment="1" applyProtection="1">
      <alignment horizontal="center"/>
      <protection hidden="1"/>
    </xf>
    <xf numFmtId="173" fontId="5" fillId="0" borderId="61" xfId="0" applyNumberFormat="1" applyFont="1" applyBorder="1" applyAlignment="1" applyProtection="1">
      <protection hidden="1"/>
    </xf>
    <xf numFmtId="173" fontId="4" fillId="0" borderId="64" xfId="0" applyNumberFormat="1" applyFont="1" applyBorder="1" applyAlignment="1" applyProtection="1">
      <protection hidden="1"/>
    </xf>
    <xf numFmtId="10" fontId="4" fillId="0" borderId="65" xfId="4" applyNumberFormat="1" applyFont="1" applyBorder="1" applyProtection="1">
      <protection hidden="1"/>
    </xf>
    <xf numFmtId="0" fontId="0" fillId="0" borderId="0" xfId="0" applyFill="1" applyProtection="1">
      <protection hidden="1"/>
    </xf>
    <xf numFmtId="0" fontId="4" fillId="0" borderId="67" xfId="0" applyFont="1" applyBorder="1" applyAlignment="1">
      <alignment horizontal="center" vertical="center"/>
    </xf>
    <xf numFmtId="9" fontId="0" fillId="0" borderId="67" xfId="4" applyFont="1" applyBorder="1" applyAlignment="1">
      <alignment horizontal="center" vertical="center"/>
    </xf>
    <xf numFmtId="167" fontId="1" fillId="17" borderId="3" xfId="10" applyNumberFormat="1" applyFill="1" applyBorder="1" applyAlignment="1">
      <alignment horizontal="center" vertical="center"/>
    </xf>
    <xf numFmtId="167" fontId="1" fillId="16" borderId="3" xfId="10" applyNumberFormat="1" applyFont="1" applyFill="1" applyBorder="1" applyAlignment="1">
      <alignment horizontal="center" vertical="center"/>
    </xf>
    <xf numFmtId="167" fontId="1" fillId="17" borderId="3" xfId="10" applyNumberFormat="1" applyFont="1" applyFill="1" applyBorder="1" applyAlignment="1">
      <alignment horizontal="center" vertical="center"/>
    </xf>
    <xf numFmtId="0" fontId="1" fillId="16" borderId="12" xfId="10" applyNumberFormat="1" applyFont="1" applyFill="1" applyBorder="1" applyAlignment="1">
      <alignment horizontal="center" vertical="center" wrapText="1"/>
    </xf>
    <xf numFmtId="167" fontId="1" fillId="16" borderId="3" xfId="10" applyNumberFormat="1" applyFill="1" applyBorder="1" applyAlignment="1">
      <alignment horizontal="center" vertical="center"/>
    </xf>
    <xf numFmtId="168" fontId="1" fillId="0" borderId="3" xfId="11" applyNumberFormat="1" applyFont="1" applyFill="1" applyBorder="1" applyAlignment="1" applyProtection="1">
      <alignment vertical="center" wrapText="1"/>
    </xf>
    <xf numFmtId="10" fontId="2" fillId="0" borderId="3" xfId="5" applyNumberFormat="1" applyFont="1" applyFill="1" applyBorder="1" applyAlignment="1" applyProtection="1">
      <alignment vertical="center" wrapText="1"/>
    </xf>
    <xf numFmtId="0" fontId="1" fillId="22" borderId="3" xfId="0" applyFont="1" applyFill="1" applyBorder="1"/>
    <xf numFmtId="0" fontId="0" fillId="19" borderId="3" xfId="0" applyFill="1" applyBorder="1"/>
    <xf numFmtId="0" fontId="0" fillId="22" borderId="3" xfId="0" applyFill="1" applyBorder="1"/>
    <xf numFmtId="0" fontId="0" fillId="16" borderId="3" xfId="0" applyFill="1" applyBorder="1"/>
    <xf numFmtId="169" fontId="0" fillId="16" borderId="3" xfId="0" applyNumberFormat="1" applyFill="1" applyBorder="1"/>
    <xf numFmtId="0" fontId="4" fillId="19" borderId="3" xfId="0" applyFont="1" applyFill="1" applyBorder="1" applyAlignment="1">
      <alignment horizontal="center"/>
    </xf>
    <xf numFmtId="0" fontId="1" fillId="0" borderId="0" xfId="0" applyFont="1" applyFill="1" applyBorder="1"/>
    <xf numFmtId="169" fontId="0" fillId="19" borderId="3" xfId="0" applyNumberFormat="1" applyFill="1" applyBorder="1"/>
    <xf numFmtId="169" fontId="1" fillId="16" borderId="3" xfId="0" applyNumberFormat="1" applyFont="1" applyFill="1" applyBorder="1"/>
    <xf numFmtId="169" fontId="1" fillId="22" borderId="3" xfId="0" applyNumberFormat="1" applyFont="1" applyFill="1" applyBorder="1"/>
    <xf numFmtId="0" fontId="4" fillId="22" borderId="3" xfId="0" applyFont="1" applyFill="1" applyBorder="1" applyAlignment="1">
      <alignment horizontal="center"/>
    </xf>
    <xf numFmtId="169" fontId="1" fillId="22" borderId="0" xfId="0" applyNumberFormat="1" applyFont="1" applyFill="1"/>
    <xf numFmtId="14" fontId="1" fillId="15" borderId="0" xfId="0" applyNumberFormat="1" applyFont="1" applyFill="1" applyBorder="1" applyAlignment="1" applyProtection="1">
      <alignment horizontal="center"/>
      <protection hidden="1"/>
    </xf>
    <xf numFmtId="0" fontId="4" fillId="23" borderId="67" xfId="0" applyFont="1" applyFill="1" applyBorder="1" applyAlignment="1">
      <alignment horizontal="center" vertical="center"/>
    </xf>
    <xf numFmtId="0" fontId="4" fillId="23" borderId="69" xfId="0" applyFont="1" applyFill="1" applyBorder="1" applyAlignment="1">
      <alignment horizontal="center" vertical="center"/>
    </xf>
    <xf numFmtId="0" fontId="4" fillId="23" borderId="40" xfId="0" applyFont="1" applyFill="1" applyBorder="1" applyAlignment="1">
      <alignment horizontal="center" vertical="center"/>
    </xf>
    <xf numFmtId="0" fontId="4" fillId="23" borderId="70" xfId="0" applyFont="1" applyFill="1" applyBorder="1" applyAlignment="1">
      <alignment horizontal="center" vertical="center"/>
    </xf>
    <xf numFmtId="4" fontId="4" fillId="23" borderId="70" xfId="2" applyNumberFormat="1" applyFont="1" applyFill="1" applyBorder="1" applyAlignment="1">
      <alignment horizontal="center" vertical="center"/>
    </xf>
    <xf numFmtId="166" fontId="4" fillId="23" borderId="70" xfId="2" applyFont="1" applyFill="1" applyBorder="1" applyAlignment="1">
      <alignment horizontal="center" vertical="center"/>
    </xf>
    <xf numFmtId="14" fontId="0" fillId="0" borderId="0" xfId="0" applyNumberFormat="1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0" fillId="29" borderId="3" xfId="0" applyFill="1" applyBorder="1"/>
    <xf numFmtId="4" fontId="0" fillId="0" borderId="0" xfId="0" applyNumberFormat="1" applyAlignment="1">
      <alignment vertical="center"/>
    </xf>
    <xf numFmtId="166" fontId="0" fillId="0" borderId="0" xfId="2" applyFont="1" applyAlignment="1">
      <alignment vertical="center"/>
    </xf>
    <xf numFmtId="0" fontId="0" fillId="0" borderId="0" xfId="0" applyFill="1"/>
    <xf numFmtId="0" fontId="2" fillId="0" borderId="0" xfId="0" applyFont="1" applyFill="1"/>
    <xf numFmtId="0" fontId="0" fillId="0" borderId="0" xfId="0" applyFill="1" applyAlignment="1">
      <alignment horizontal="center"/>
    </xf>
    <xf numFmtId="0" fontId="1" fillId="0" borderId="0" xfId="0" applyFont="1" applyFill="1"/>
    <xf numFmtId="169" fontId="0" fillId="0" borderId="0" xfId="0" applyNumberFormat="1" applyFill="1" applyBorder="1"/>
    <xf numFmtId="0" fontId="0" fillId="0" borderId="0" xfId="0" applyFill="1" applyBorder="1"/>
    <xf numFmtId="14" fontId="0" fillId="0" borderId="0" xfId="0" applyNumberFormat="1" applyFill="1" applyBorder="1"/>
    <xf numFmtId="170" fontId="0" fillId="0" borderId="0" xfId="4" applyNumberFormat="1" applyFont="1" applyFill="1" applyBorder="1"/>
    <xf numFmtId="169" fontId="1" fillId="0" borderId="0" xfId="0" applyNumberFormat="1" applyFont="1" applyFill="1" applyBorder="1"/>
    <xf numFmtId="169" fontId="1" fillId="0" borderId="0" xfId="4" applyNumberFormat="1" applyFont="1" applyFill="1" applyBorder="1"/>
    <xf numFmtId="181" fontId="0" fillId="0" borderId="0" xfId="4" applyNumberFormat="1" applyFont="1" applyFill="1" applyBorder="1"/>
    <xf numFmtId="167" fontId="1" fillId="0" borderId="0" xfId="10" applyFont="1" applyAlignment="1" applyProtection="1">
      <alignment vertical="center" wrapText="1"/>
    </xf>
    <xf numFmtId="14" fontId="0" fillId="0" borderId="0" xfId="0" applyNumberFormat="1" applyFill="1"/>
    <xf numFmtId="4" fontId="0" fillId="0" borderId="0" xfId="0" applyNumberFormat="1" applyAlignment="1" applyProtection="1">
      <alignment vertical="center" wrapText="1"/>
    </xf>
    <xf numFmtId="0" fontId="1" fillId="0" borderId="3" xfId="0" applyFont="1" applyBorder="1" applyAlignment="1" applyProtection="1">
      <alignment vertical="center"/>
    </xf>
    <xf numFmtId="43" fontId="0" fillId="0" borderId="0" xfId="0" applyNumberFormat="1" applyAlignment="1" applyProtection="1">
      <alignment vertical="center" wrapText="1"/>
    </xf>
    <xf numFmtId="8" fontId="0" fillId="0" borderId="0" xfId="0" applyNumberFormat="1" applyAlignment="1" applyProtection="1">
      <alignment vertical="center"/>
    </xf>
    <xf numFmtId="0" fontId="4" fillId="23" borderId="0" xfId="0" applyFont="1" applyFill="1" applyBorder="1" applyAlignment="1">
      <alignment horizontal="center" vertical="center"/>
    </xf>
    <xf numFmtId="4" fontId="4" fillId="23" borderId="0" xfId="2" applyNumberFormat="1" applyFont="1" applyFill="1" applyBorder="1" applyAlignment="1">
      <alignment horizontal="center" vertical="center"/>
    </xf>
    <xf numFmtId="168" fontId="1" fillId="0" borderId="0" xfId="10" applyNumberFormat="1" applyFont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8" fillId="21" borderId="0" xfId="0" applyFont="1" applyFill="1" applyBorder="1" applyAlignment="1" applyProtection="1">
      <alignment horizontal="center" vertical="center" wrapText="1"/>
    </xf>
    <xf numFmtId="168" fontId="4" fillId="21" borderId="0" xfId="11" applyNumberFormat="1" applyFont="1" applyFill="1" applyBorder="1" applyAlignment="1" applyProtection="1">
      <alignment vertical="center" wrapText="1"/>
    </xf>
    <xf numFmtId="10" fontId="6" fillId="21" borderId="0" xfId="5" applyNumberFormat="1" applyFont="1" applyFill="1" applyBorder="1" applyAlignment="1" applyProtection="1">
      <alignment vertical="center" wrapText="1"/>
    </xf>
    <xf numFmtId="14" fontId="1" fillId="22" borderId="53" xfId="4" applyNumberFormat="1" applyFont="1" applyFill="1" applyBorder="1" applyAlignment="1" applyProtection="1">
      <alignment horizontal="center"/>
      <protection hidden="1"/>
    </xf>
    <xf numFmtId="14" fontId="0" fillId="22" borderId="48" xfId="0" applyNumberFormat="1" applyFill="1" applyBorder="1" applyAlignment="1" applyProtection="1">
      <alignment horizontal="center"/>
      <protection hidden="1"/>
    </xf>
    <xf numFmtId="14" fontId="0" fillId="22" borderId="50" xfId="0" applyNumberFormat="1" applyFill="1" applyBorder="1" applyAlignment="1" applyProtection="1">
      <alignment horizontal="center"/>
      <protection hidden="1"/>
    </xf>
    <xf numFmtId="168" fontId="0" fillId="0" borderId="0" xfId="10" applyNumberFormat="1" applyFont="1" applyBorder="1" applyAlignment="1" applyProtection="1">
      <alignment vertical="center" wrapText="1"/>
    </xf>
    <xf numFmtId="168" fontId="4" fillId="0" borderId="0" xfId="10" applyNumberFormat="1" applyFont="1" applyBorder="1" applyAlignment="1" applyProtection="1">
      <alignment vertical="center" wrapText="1"/>
    </xf>
    <xf numFmtId="0" fontId="4" fillId="22" borderId="15" xfId="0" applyFont="1" applyFill="1" applyBorder="1" applyAlignment="1">
      <alignment horizontal="center" vertical="center"/>
    </xf>
    <xf numFmtId="168" fontId="1" fillId="0" borderId="3" xfId="10" applyNumberFormat="1" applyFont="1" applyBorder="1" applyAlignment="1" applyProtection="1">
      <alignment vertical="center" wrapText="1"/>
    </xf>
    <xf numFmtId="167" fontId="0" fillId="0" borderId="3" xfId="10" applyNumberFormat="1" applyFont="1" applyBorder="1" applyAlignment="1" applyProtection="1">
      <alignment vertical="center" wrapText="1"/>
    </xf>
    <xf numFmtId="0" fontId="1" fillId="4" borderId="3" xfId="0" applyFont="1" applyFill="1" applyBorder="1" applyAlignment="1">
      <alignment horizontal="left" vertical="center"/>
    </xf>
    <xf numFmtId="182" fontId="1" fillId="0" borderId="0" xfId="0" applyNumberFormat="1" applyFont="1" applyFill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0" fillId="22" borderId="0" xfId="0" applyFill="1"/>
    <xf numFmtId="0" fontId="34" fillId="2" borderId="0" xfId="0" applyFont="1" applyFill="1" applyAlignment="1" applyProtection="1">
      <alignment vertical="center"/>
    </xf>
    <xf numFmtId="0" fontId="37" fillId="23" borderId="0" xfId="0" applyFont="1" applyFill="1" applyBorder="1" applyAlignment="1" applyProtection="1">
      <alignment vertical="center"/>
    </xf>
    <xf numFmtId="0" fontId="39" fillId="2" borderId="0" xfId="0" applyFont="1" applyFill="1" applyAlignment="1" applyProtection="1">
      <alignment horizontal="left" vertical="center"/>
    </xf>
    <xf numFmtId="0" fontId="40" fillId="2" borderId="0" xfId="0" applyFont="1" applyFill="1" applyAlignment="1" applyProtection="1">
      <alignment vertical="center"/>
    </xf>
    <xf numFmtId="0" fontId="44" fillId="2" borderId="0" xfId="0" applyFont="1" applyFill="1" applyBorder="1" applyAlignment="1" applyProtection="1">
      <alignment vertical="center"/>
    </xf>
    <xf numFmtId="0" fontId="47" fillId="3" borderId="0" xfId="0" applyFont="1" applyFill="1" applyBorder="1" applyAlignment="1" applyProtection="1">
      <alignment vertical="center"/>
    </xf>
    <xf numFmtId="0" fontId="34" fillId="0" borderId="3" xfId="0" applyFont="1" applyBorder="1" applyProtection="1"/>
    <xf numFmtId="0" fontId="34" fillId="2" borderId="3" xfId="0" applyFont="1" applyFill="1" applyBorder="1" applyAlignment="1" applyProtection="1">
      <alignment vertical="center"/>
    </xf>
    <xf numFmtId="167" fontId="34" fillId="2" borderId="3" xfId="10" applyNumberFormat="1" applyFont="1" applyFill="1" applyBorder="1" applyAlignment="1" applyProtection="1">
      <alignment horizontal="center" vertical="center"/>
    </xf>
    <xf numFmtId="0" fontId="48" fillId="2" borderId="3" xfId="0" applyFont="1" applyFill="1" applyBorder="1" applyAlignment="1" applyProtection="1">
      <alignment horizontal="center" vertical="center"/>
    </xf>
    <xf numFmtId="0" fontId="48" fillId="0" borderId="0" xfId="0" applyFont="1" applyFill="1" applyBorder="1" applyAlignment="1" applyProtection="1">
      <alignment horizontal="center" vertical="center"/>
    </xf>
    <xf numFmtId="0" fontId="36" fillId="3" borderId="0" xfId="0" applyFont="1" applyFill="1" applyBorder="1" applyAlignment="1" applyProtection="1">
      <alignment horizontal="right" vertical="center"/>
    </xf>
    <xf numFmtId="0" fontId="48" fillId="2" borderId="3" xfId="0" applyFont="1" applyFill="1" applyBorder="1" applyAlignment="1" applyProtection="1">
      <alignment vertical="center"/>
    </xf>
    <xf numFmtId="0" fontId="34" fillId="3" borderId="0" xfId="0" applyFont="1" applyFill="1" applyBorder="1" applyAlignment="1" applyProtection="1">
      <alignment vertical="center"/>
    </xf>
    <xf numFmtId="0" fontId="34" fillId="3" borderId="0" xfId="0" applyFont="1" applyFill="1" applyBorder="1" applyAlignment="1" applyProtection="1">
      <alignment horizontal="right" vertical="center"/>
    </xf>
    <xf numFmtId="168" fontId="48" fillId="2" borderId="3" xfId="10" applyNumberFormat="1" applyFont="1" applyFill="1" applyBorder="1" applyAlignment="1" applyProtection="1">
      <alignment vertical="center"/>
    </xf>
    <xf numFmtId="0" fontId="48" fillId="2" borderId="6" xfId="0" applyFont="1" applyFill="1" applyBorder="1" applyAlignment="1" applyProtection="1">
      <alignment horizontal="center" vertical="center"/>
    </xf>
    <xf numFmtId="168" fontId="48" fillId="2" borderId="33" xfId="10" applyNumberFormat="1" applyFont="1" applyFill="1" applyBorder="1" applyAlignment="1" applyProtection="1">
      <alignment vertical="center"/>
    </xf>
    <xf numFmtId="0" fontId="54" fillId="2" borderId="0" xfId="0" applyFont="1" applyFill="1" applyAlignment="1" applyProtection="1">
      <alignment vertical="center"/>
    </xf>
    <xf numFmtId="0" fontId="48" fillId="2" borderId="15" xfId="0" applyFont="1" applyFill="1" applyBorder="1" applyAlignment="1" applyProtection="1">
      <alignment horizontal="center" vertical="center"/>
    </xf>
    <xf numFmtId="0" fontId="48" fillId="2" borderId="15" xfId="0" applyFont="1" applyFill="1" applyBorder="1" applyAlignment="1" applyProtection="1">
      <alignment horizontal="left" vertical="center"/>
    </xf>
    <xf numFmtId="0" fontId="34" fillId="0" borderId="0" xfId="0" applyFont="1" applyFill="1" applyAlignment="1" applyProtection="1">
      <alignment vertical="center"/>
    </xf>
    <xf numFmtId="0" fontId="40" fillId="0" borderId="0" xfId="0" applyFont="1" applyFill="1" applyAlignment="1" applyProtection="1">
      <alignment vertical="center"/>
    </xf>
    <xf numFmtId="0" fontId="34" fillId="0" borderId="3" xfId="0" applyFont="1" applyFill="1" applyBorder="1" applyAlignment="1" applyProtection="1">
      <alignment vertical="center"/>
    </xf>
    <xf numFmtId="0" fontId="34" fillId="0" borderId="3" xfId="0" applyFont="1" applyFill="1" applyBorder="1" applyProtection="1"/>
    <xf numFmtId="167" fontId="34" fillId="0" borderId="3" xfId="10" applyNumberFormat="1" applyFont="1" applyFill="1" applyBorder="1" applyAlignment="1" applyProtection="1">
      <alignment horizontal="center" vertical="center"/>
    </xf>
    <xf numFmtId="0" fontId="34" fillId="0" borderId="7" xfId="0" applyFont="1" applyFill="1" applyBorder="1" applyAlignment="1" applyProtection="1">
      <alignment horizontal="center" vertical="center"/>
    </xf>
    <xf numFmtId="0" fontId="48" fillId="0" borderId="3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 applyProtection="1">
      <alignment vertical="center"/>
    </xf>
    <xf numFmtId="0" fontId="39" fillId="0" borderId="0" xfId="0" applyFont="1" applyFill="1" applyAlignment="1" applyProtection="1">
      <alignment horizontal="left" vertical="center"/>
    </xf>
    <xf numFmtId="0" fontId="39" fillId="0" borderId="0" xfId="0" applyFont="1" applyFill="1" applyAlignment="1" applyProtection="1">
      <alignment vertical="center"/>
    </xf>
    <xf numFmtId="0" fontId="34" fillId="2" borderId="0" xfId="0" applyFont="1" applyFill="1" applyBorder="1" applyAlignment="1" applyProtection="1">
      <alignment vertical="center"/>
    </xf>
    <xf numFmtId="0" fontId="34" fillId="2" borderId="7" xfId="0" applyFont="1" applyFill="1" applyBorder="1" applyAlignment="1" applyProtection="1">
      <alignment horizontal="center" vertical="center"/>
    </xf>
    <xf numFmtId="0" fontId="39" fillId="2" borderId="0" xfId="0" applyFont="1" applyFill="1" applyAlignment="1" applyProtection="1">
      <alignment vertical="center"/>
    </xf>
    <xf numFmtId="0" fontId="34" fillId="2" borderId="3" xfId="0" applyFont="1" applyFill="1" applyBorder="1" applyAlignment="1" applyProtection="1">
      <alignment horizontal="right" vertical="center"/>
    </xf>
    <xf numFmtId="0" fontId="61" fillId="2" borderId="0" xfId="0" applyFont="1" applyFill="1" applyAlignment="1" applyProtection="1">
      <alignment vertical="center"/>
    </xf>
    <xf numFmtId="0" fontId="34" fillId="2" borderId="11" xfId="0" applyFont="1" applyFill="1" applyBorder="1" applyAlignment="1" applyProtection="1">
      <alignment horizontal="center" vertical="center"/>
    </xf>
    <xf numFmtId="0" fontId="34" fillId="2" borderId="12" xfId="0" applyFont="1" applyFill="1" applyBorder="1" applyAlignment="1" applyProtection="1">
      <alignment horizontal="center" vertical="center"/>
    </xf>
    <xf numFmtId="0" fontId="49" fillId="2" borderId="0" xfId="0" applyFont="1" applyFill="1" applyBorder="1" applyAlignment="1" applyProtection="1">
      <alignment vertical="center"/>
    </xf>
    <xf numFmtId="166" fontId="34" fillId="2" borderId="0" xfId="0" applyNumberFormat="1" applyFont="1" applyFill="1" applyAlignment="1" applyProtection="1">
      <alignment vertical="center"/>
    </xf>
    <xf numFmtId="43" fontId="34" fillId="2" borderId="0" xfId="0" applyNumberFormat="1" applyFont="1" applyFill="1" applyAlignment="1" applyProtection="1">
      <alignment vertical="center"/>
    </xf>
    <xf numFmtId="166" fontId="39" fillId="2" borderId="0" xfId="2" applyFont="1" applyFill="1" applyAlignment="1" applyProtection="1">
      <alignment vertical="center"/>
    </xf>
    <xf numFmtId="2" fontId="39" fillId="2" borderId="0" xfId="0" applyNumberFormat="1" applyFont="1" applyFill="1" applyAlignment="1" applyProtection="1">
      <alignment vertical="center"/>
    </xf>
    <xf numFmtId="0" fontId="62" fillId="0" borderId="0" xfId="0" applyFont="1" applyFill="1" applyBorder="1" applyAlignment="1" applyProtection="1">
      <alignment vertical="center"/>
    </xf>
    <xf numFmtId="0" fontId="39" fillId="0" borderId="0" xfId="0" applyFont="1" applyFill="1" applyBorder="1" applyAlignment="1" applyProtection="1">
      <alignment vertical="center"/>
    </xf>
    <xf numFmtId="2" fontId="34" fillId="2" borderId="0" xfId="0" applyNumberFormat="1" applyFont="1" applyFill="1" applyAlignment="1" applyProtection="1">
      <alignment vertical="center"/>
    </xf>
    <xf numFmtId="0" fontId="34" fillId="0" borderId="0" xfId="0" applyFont="1" applyProtection="1"/>
    <xf numFmtId="0" fontId="34" fillId="2" borderId="3" xfId="0" applyFont="1" applyFill="1" applyBorder="1" applyAlignment="1" applyProtection="1">
      <alignment horizontal="center" vertical="center"/>
    </xf>
    <xf numFmtId="0" fontId="44" fillId="26" borderId="42" xfId="0" applyFont="1" applyFill="1" applyBorder="1" applyAlignment="1" applyProtection="1">
      <alignment horizontal="center" vertical="center"/>
    </xf>
    <xf numFmtId="0" fontId="34" fillId="2" borderId="21" xfId="0" applyFont="1" applyFill="1" applyBorder="1" applyAlignment="1" applyProtection="1">
      <alignment vertical="center"/>
    </xf>
    <xf numFmtId="43" fontId="34" fillId="2" borderId="21" xfId="0" applyNumberFormat="1" applyFont="1" applyFill="1" applyBorder="1" applyAlignment="1" applyProtection="1">
      <alignment vertical="center"/>
    </xf>
    <xf numFmtId="0" fontId="34" fillId="2" borderId="22" xfId="0" applyFont="1" applyFill="1" applyBorder="1" applyAlignment="1" applyProtection="1">
      <alignment vertical="center"/>
    </xf>
    <xf numFmtId="43" fontId="73" fillId="24" borderId="41" xfId="0" applyNumberFormat="1" applyFont="1" applyFill="1" applyBorder="1" applyAlignment="1" applyProtection="1">
      <alignment vertical="center"/>
    </xf>
    <xf numFmtId="4" fontId="34" fillId="2" borderId="0" xfId="0" applyNumberFormat="1" applyFont="1" applyFill="1" applyBorder="1" applyAlignment="1" applyProtection="1">
      <alignment vertical="center"/>
    </xf>
    <xf numFmtId="0" fontId="34" fillId="2" borderId="23" xfId="0" applyFont="1" applyFill="1" applyBorder="1" applyAlignment="1" applyProtection="1">
      <alignment vertical="center"/>
    </xf>
    <xf numFmtId="166" fontId="44" fillId="0" borderId="0" xfId="2" applyFont="1" applyFill="1" applyBorder="1" applyAlignment="1" applyProtection="1">
      <alignment horizontal="center" vertical="center"/>
    </xf>
    <xf numFmtId="43" fontId="34" fillId="2" borderId="0" xfId="0" applyNumberFormat="1" applyFont="1" applyFill="1" applyBorder="1" applyAlignment="1" applyProtection="1">
      <alignment vertical="center"/>
    </xf>
    <xf numFmtId="0" fontId="73" fillId="24" borderId="41" xfId="0" applyFont="1" applyFill="1" applyBorder="1" applyAlignment="1" applyProtection="1">
      <alignment vertical="center"/>
    </xf>
    <xf numFmtId="166" fontId="44" fillId="13" borderId="24" xfId="2" applyFont="1" applyFill="1" applyBorder="1" applyAlignment="1" applyProtection="1">
      <alignment horizontal="center" vertical="center"/>
    </xf>
    <xf numFmtId="166" fontId="44" fillId="13" borderId="0" xfId="2" applyFont="1" applyFill="1" applyBorder="1" applyAlignment="1" applyProtection="1">
      <alignment horizontal="center" vertical="center"/>
    </xf>
    <xf numFmtId="166" fontId="44" fillId="13" borderId="23" xfId="2" applyFont="1" applyFill="1" applyBorder="1" applyAlignment="1" applyProtection="1">
      <alignment horizontal="center" vertical="center"/>
    </xf>
    <xf numFmtId="17" fontId="44" fillId="2" borderId="0" xfId="0" applyNumberFormat="1" applyFont="1" applyFill="1" applyBorder="1" applyAlignment="1" applyProtection="1">
      <alignment horizontal="center" vertical="center"/>
    </xf>
    <xf numFmtId="167" fontId="44" fillId="2" borderId="0" xfId="10" applyFont="1" applyFill="1" applyBorder="1" applyAlignment="1" applyProtection="1">
      <alignment horizontal="center" vertical="center"/>
    </xf>
    <xf numFmtId="167" fontId="34" fillId="2" borderId="0" xfId="0" applyNumberFormat="1" applyFont="1" applyFill="1" applyBorder="1" applyAlignment="1" applyProtection="1">
      <alignment vertical="center"/>
    </xf>
    <xf numFmtId="167" fontId="44" fillId="2" borderId="23" xfId="10" applyFont="1" applyFill="1" applyBorder="1" applyAlignment="1" applyProtection="1">
      <alignment horizontal="center" vertical="center"/>
    </xf>
    <xf numFmtId="0" fontId="44" fillId="2" borderId="0" xfId="0" applyFont="1" applyFill="1" applyBorder="1" applyAlignment="1" applyProtection="1">
      <alignment horizontal="center" vertical="center"/>
    </xf>
    <xf numFmtId="0" fontId="34" fillId="2" borderId="24" xfId="0" applyFont="1" applyFill="1" applyBorder="1" applyAlignment="1" applyProtection="1">
      <alignment vertical="center"/>
    </xf>
    <xf numFmtId="0" fontId="34" fillId="24" borderId="73" xfId="0" applyFont="1" applyFill="1" applyBorder="1" applyAlignment="1" applyProtection="1">
      <alignment vertical="center"/>
    </xf>
    <xf numFmtId="167" fontId="44" fillId="2" borderId="24" xfId="10" applyFont="1" applyFill="1" applyBorder="1" applyAlignment="1" applyProtection="1">
      <alignment horizontal="center" vertical="center"/>
    </xf>
    <xf numFmtId="166" fontId="34" fillId="2" borderId="24" xfId="0" applyNumberFormat="1" applyFont="1" applyFill="1" applyBorder="1" applyAlignment="1" applyProtection="1">
      <alignment vertical="center"/>
    </xf>
    <xf numFmtId="166" fontId="73" fillId="24" borderId="73" xfId="0" applyNumberFormat="1" applyFont="1" applyFill="1" applyBorder="1" applyAlignment="1" applyProtection="1">
      <alignment vertical="center"/>
    </xf>
    <xf numFmtId="0" fontId="73" fillId="3" borderId="41" xfId="0" applyFont="1" applyFill="1" applyBorder="1" applyAlignment="1" applyProtection="1">
      <alignment vertical="center"/>
    </xf>
    <xf numFmtId="0" fontId="60" fillId="2" borderId="0" xfId="0" applyFont="1" applyFill="1" applyBorder="1" applyAlignment="1" applyProtection="1">
      <alignment vertical="center"/>
    </xf>
    <xf numFmtId="0" fontId="60" fillId="2" borderId="0" xfId="0" applyFont="1" applyFill="1" applyBorder="1" applyAlignment="1" applyProtection="1">
      <alignment vertical="center" wrapText="1"/>
    </xf>
    <xf numFmtId="0" fontId="60" fillId="2" borderId="24" xfId="0" applyFont="1" applyFill="1" applyBorder="1" applyAlignment="1" applyProtection="1">
      <alignment vertical="center" wrapText="1"/>
    </xf>
    <xf numFmtId="0" fontId="60" fillId="2" borderId="23" xfId="0" applyFont="1" applyFill="1" applyBorder="1" applyAlignment="1" applyProtection="1">
      <alignment vertical="center" wrapText="1"/>
    </xf>
    <xf numFmtId="0" fontId="34" fillId="2" borderId="25" xfId="0" applyFont="1" applyFill="1" applyBorder="1" applyAlignment="1" applyProtection="1">
      <alignment vertical="center"/>
    </xf>
    <xf numFmtId="0" fontId="34" fillId="2" borderId="26" xfId="0" applyFont="1" applyFill="1" applyBorder="1" applyAlignment="1" applyProtection="1">
      <alignment vertical="center"/>
    </xf>
    <xf numFmtId="167" fontId="73" fillId="30" borderId="42" xfId="10" applyNumberFormat="1" applyFont="1" applyFill="1" applyBorder="1" applyAlignment="1" applyProtection="1">
      <alignment vertical="center"/>
    </xf>
    <xf numFmtId="0" fontId="44" fillId="2" borderId="0" xfId="0" applyNumberFormat="1" applyFont="1" applyFill="1" applyBorder="1" applyAlignment="1" applyProtection="1">
      <alignment vertical="center"/>
    </xf>
    <xf numFmtId="0" fontId="34" fillId="2" borderId="0" xfId="0" applyFont="1" applyFill="1" applyBorder="1" applyAlignment="1" applyProtection="1">
      <alignment wrapText="1"/>
    </xf>
    <xf numFmtId="167" fontId="73" fillId="2" borderId="0" xfId="10" applyNumberFormat="1" applyFont="1" applyFill="1" applyAlignment="1" applyProtection="1">
      <alignment vertical="center"/>
    </xf>
    <xf numFmtId="167" fontId="73" fillId="24" borderId="42" xfId="10" applyNumberFormat="1" applyFont="1" applyFill="1" applyBorder="1" applyAlignment="1" applyProtection="1">
      <alignment vertical="center"/>
    </xf>
    <xf numFmtId="0" fontId="34" fillId="2" borderId="0" xfId="0" applyFont="1" applyFill="1" applyAlignment="1" applyProtection="1">
      <alignment horizontal="left" vertical="center"/>
    </xf>
    <xf numFmtId="167" fontId="73" fillId="30" borderId="0" xfId="10" applyNumberFormat="1" applyFont="1" applyFill="1" applyBorder="1" applyAlignment="1" applyProtection="1">
      <alignment vertical="center"/>
    </xf>
    <xf numFmtId="0" fontId="48" fillId="2" borderId="27" xfId="0" applyFont="1" applyFill="1" applyBorder="1" applyAlignment="1" applyProtection="1">
      <alignment vertical="center"/>
    </xf>
    <xf numFmtId="0" fontId="48" fillId="2" borderId="22" xfId="0" applyFont="1" applyFill="1" applyBorder="1" applyAlignment="1" applyProtection="1">
      <alignment vertical="center"/>
    </xf>
    <xf numFmtId="167" fontId="80" fillId="2" borderId="42" xfId="10" applyNumberFormat="1" applyFont="1" applyFill="1" applyBorder="1" applyAlignment="1" applyProtection="1">
      <alignment vertical="center"/>
    </xf>
    <xf numFmtId="10" fontId="79" fillId="2" borderId="18" xfId="4" applyNumberFormat="1" applyFont="1" applyFill="1" applyBorder="1" applyAlignment="1" applyProtection="1">
      <alignment vertical="center"/>
    </xf>
    <xf numFmtId="0" fontId="79" fillId="2" borderId="26" xfId="0" applyFont="1" applyFill="1" applyBorder="1" applyAlignment="1" applyProtection="1">
      <alignment vertical="center"/>
    </xf>
    <xf numFmtId="0" fontId="40" fillId="0" borderId="3" xfId="0" applyFont="1" applyBorder="1" applyProtection="1"/>
    <xf numFmtId="0" fontId="40" fillId="2" borderId="3" xfId="0" applyFont="1" applyFill="1" applyBorder="1" applyAlignment="1" applyProtection="1">
      <alignment horizontal="right" vertical="center"/>
    </xf>
    <xf numFmtId="0" fontId="40" fillId="2" borderId="3" xfId="0" applyFont="1" applyFill="1" applyBorder="1" applyAlignment="1" applyProtection="1">
      <alignment horizontal="center" vertical="center"/>
    </xf>
    <xf numFmtId="167" fontId="40" fillId="2" borderId="3" xfId="10" applyNumberFormat="1" applyFont="1" applyFill="1" applyBorder="1" applyAlignment="1" applyProtection="1">
      <alignment horizontal="center" vertical="center"/>
    </xf>
    <xf numFmtId="0" fontId="40" fillId="2" borderId="0" xfId="0" applyFont="1" applyFill="1" applyBorder="1" applyAlignment="1" applyProtection="1">
      <alignment vertical="center"/>
    </xf>
    <xf numFmtId="0" fontId="40" fillId="2" borderId="0" xfId="0" applyFont="1" applyFill="1" applyAlignment="1" applyProtection="1">
      <alignment horizontal="left" vertical="center"/>
    </xf>
    <xf numFmtId="0" fontId="83" fillId="2" borderId="0" xfId="0" applyFont="1" applyFill="1" applyAlignment="1" applyProtection="1">
      <alignment vertical="center"/>
    </xf>
    <xf numFmtId="0" fontId="82" fillId="0" borderId="0" xfId="0" applyFont="1" applyFill="1" applyBorder="1" applyAlignment="1" applyProtection="1">
      <alignment horizontal="center" vertical="center" wrapText="1"/>
    </xf>
    <xf numFmtId="167" fontId="73" fillId="0" borderId="0" xfId="10" applyNumberFormat="1" applyFont="1" applyFill="1" applyBorder="1" applyAlignment="1" applyProtection="1">
      <alignment vertical="center"/>
    </xf>
    <xf numFmtId="166" fontId="44" fillId="0" borderId="24" xfId="2" applyFont="1" applyFill="1" applyBorder="1" applyAlignment="1" applyProtection="1">
      <alignment horizontal="center" vertical="center"/>
    </xf>
    <xf numFmtId="166" fontId="44" fillId="0" borderId="23" xfId="2" applyFont="1" applyFill="1" applyBorder="1" applyAlignment="1" applyProtection="1">
      <alignment horizontal="center" vertical="center"/>
    </xf>
    <xf numFmtId="0" fontId="34" fillId="0" borderId="3" xfId="0" applyFont="1" applyFill="1" applyBorder="1" applyAlignment="1" applyProtection="1">
      <alignment horizontal="right" vertical="center"/>
    </xf>
    <xf numFmtId="0" fontId="34" fillId="0" borderId="3" xfId="0" applyFont="1" applyFill="1" applyBorder="1" applyAlignment="1" applyProtection="1">
      <alignment horizontal="center" vertical="center"/>
    </xf>
    <xf numFmtId="0" fontId="83" fillId="0" borderId="0" xfId="0" applyFont="1" applyFill="1" applyAlignment="1" applyProtection="1">
      <alignment vertical="center"/>
    </xf>
    <xf numFmtId="0" fontId="78" fillId="2" borderId="0" xfId="0" applyFont="1" applyFill="1" applyBorder="1" applyAlignment="1" applyProtection="1">
      <alignment horizontal="center" vertical="center"/>
    </xf>
    <xf numFmtId="167" fontId="78" fillId="2" borderId="0" xfId="10" applyFont="1" applyFill="1" applyBorder="1" applyAlignment="1" applyProtection="1">
      <alignment horizontal="center" vertical="center"/>
    </xf>
    <xf numFmtId="0" fontId="40" fillId="2" borderId="0" xfId="0" applyFont="1" applyFill="1" applyBorder="1" applyAlignment="1" applyProtection="1">
      <alignment wrapText="1"/>
    </xf>
    <xf numFmtId="0" fontId="69" fillId="2" borderId="0" xfId="0" applyFont="1" applyFill="1" applyBorder="1" applyAlignment="1" applyProtection="1">
      <alignment vertical="center" wrapText="1"/>
    </xf>
    <xf numFmtId="167" fontId="80" fillId="2" borderId="0" xfId="10" applyNumberFormat="1" applyFont="1" applyFill="1" applyAlignment="1" applyProtection="1">
      <alignment vertical="center"/>
    </xf>
    <xf numFmtId="167" fontId="78" fillId="2" borderId="24" xfId="10" applyFont="1" applyFill="1" applyBorder="1" applyAlignment="1" applyProtection="1">
      <alignment horizontal="center" vertical="center"/>
    </xf>
    <xf numFmtId="167" fontId="78" fillId="2" borderId="23" xfId="10" applyFont="1" applyFill="1" applyBorder="1" applyAlignment="1" applyProtection="1">
      <alignment horizontal="center" vertical="center"/>
    </xf>
    <xf numFmtId="0" fontId="81" fillId="2" borderId="0" xfId="0" applyFont="1" applyFill="1" applyBorder="1" applyAlignment="1" applyProtection="1">
      <alignment horizontal="center" vertical="center"/>
    </xf>
    <xf numFmtId="167" fontId="81" fillId="2" borderId="0" xfId="10" applyFont="1" applyFill="1" applyBorder="1" applyAlignment="1" applyProtection="1">
      <alignment horizontal="center" vertical="center"/>
    </xf>
    <xf numFmtId="167" fontId="73" fillId="2" borderId="42" xfId="10" applyNumberFormat="1" applyFont="1" applyFill="1" applyBorder="1" applyAlignment="1" applyProtection="1">
      <alignment vertical="center"/>
    </xf>
    <xf numFmtId="0" fontId="73" fillId="2" borderId="0" xfId="0" applyFont="1" applyFill="1" applyAlignment="1" applyProtection="1">
      <alignment vertical="center"/>
    </xf>
    <xf numFmtId="1" fontId="40" fillId="2" borderId="0" xfId="0" applyNumberFormat="1" applyFont="1" applyFill="1" applyAlignment="1" applyProtection="1">
      <alignment vertical="center"/>
    </xf>
    <xf numFmtId="0" fontId="84" fillId="2" borderId="0" xfId="0" applyFont="1" applyFill="1" applyAlignment="1" applyProtection="1">
      <alignment vertical="center"/>
    </xf>
    <xf numFmtId="43" fontId="34" fillId="2" borderId="3" xfId="0" applyNumberFormat="1" applyFont="1" applyFill="1" applyBorder="1" applyAlignment="1" applyProtection="1">
      <alignment vertical="center"/>
    </xf>
    <xf numFmtId="1" fontId="34" fillId="2" borderId="0" xfId="0" applyNumberFormat="1" applyFont="1" applyFill="1" applyAlignment="1" applyProtection="1">
      <alignment vertical="center"/>
    </xf>
    <xf numFmtId="0" fontId="48" fillId="5" borderId="0" xfId="0" applyFont="1" applyFill="1" applyBorder="1" applyAlignment="1" applyProtection="1">
      <alignment horizontal="center" vertical="center"/>
    </xf>
    <xf numFmtId="10" fontId="34" fillId="2" borderId="4" xfId="0" applyNumberFormat="1" applyFont="1" applyFill="1" applyBorder="1" applyAlignment="1" applyProtection="1">
      <alignment horizontal="right" vertical="center"/>
    </xf>
    <xf numFmtId="0" fontId="48" fillId="2" borderId="16" xfId="0" applyFont="1" applyFill="1" applyBorder="1" applyAlignment="1" applyProtection="1">
      <alignment horizontal="center" vertical="center"/>
    </xf>
    <xf numFmtId="43" fontId="34" fillId="2" borderId="4" xfId="0" applyNumberFormat="1" applyFont="1" applyFill="1" applyBorder="1" applyAlignment="1" applyProtection="1">
      <alignment vertical="center"/>
    </xf>
    <xf numFmtId="0" fontId="48" fillId="2" borderId="28" xfId="0" applyFont="1" applyFill="1" applyBorder="1" applyAlignment="1" applyProtection="1">
      <alignment horizontal="center" vertical="center"/>
    </xf>
    <xf numFmtId="0" fontId="34" fillId="2" borderId="3" xfId="0" applyFont="1" applyFill="1" applyBorder="1" applyAlignment="1" applyProtection="1">
      <alignment horizontal="center" vertical="center" wrapText="1"/>
    </xf>
    <xf numFmtId="0" fontId="34" fillId="2" borderId="7" xfId="0" applyFont="1" applyFill="1" applyBorder="1" applyAlignment="1" applyProtection="1">
      <alignment horizontal="center" vertical="center" wrapText="1"/>
    </xf>
    <xf numFmtId="0" fontId="34" fillId="2" borderId="4" xfId="0" applyFont="1" applyFill="1" applyBorder="1" applyAlignment="1" applyProtection="1">
      <alignment horizontal="center" vertical="center" wrapText="1"/>
    </xf>
    <xf numFmtId="0" fontId="34" fillId="2" borderId="6" xfId="0" applyFont="1" applyFill="1" applyBorder="1" applyAlignment="1" applyProtection="1">
      <alignment horizontal="center" vertical="center" wrapText="1"/>
    </xf>
    <xf numFmtId="0" fontId="34" fillId="0" borderId="4" xfId="0" applyFont="1" applyBorder="1" applyAlignment="1" applyProtection="1">
      <alignment vertical="center" wrapText="1"/>
    </xf>
    <xf numFmtId="0" fontId="34" fillId="0" borderId="6" xfId="0" applyFont="1" applyBorder="1" applyAlignment="1" applyProtection="1">
      <alignment vertical="center" wrapText="1"/>
    </xf>
    <xf numFmtId="0" fontId="34" fillId="0" borderId="0" xfId="0" applyFont="1" applyAlignment="1" applyProtection="1">
      <alignment vertical="center" wrapText="1"/>
    </xf>
    <xf numFmtId="10" fontId="34" fillId="2" borderId="3" xfId="4" applyNumberFormat="1" applyFont="1" applyFill="1" applyBorder="1" applyAlignment="1" applyProtection="1">
      <alignment horizontal="center" vertical="center"/>
    </xf>
    <xf numFmtId="9" fontId="34" fillId="2" borderId="3" xfId="4" applyNumberFormat="1" applyFont="1" applyFill="1" applyBorder="1" applyAlignment="1" applyProtection="1">
      <alignment horizontal="center" vertical="center"/>
    </xf>
    <xf numFmtId="168" fontId="34" fillId="2" borderId="3" xfId="10" applyNumberFormat="1" applyFont="1" applyFill="1" applyBorder="1" applyAlignment="1" applyProtection="1">
      <alignment vertical="center"/>
    </xf>
    <xf numFmtId="0" fontId="73" fillId="2" borderId="0" xfId="0" applyFont="1" applyFill="1" applyBorder="1" applyAlignment="1" applyProtection="1">
      <alignment vertical="center"/>
    </xf>
    <xf numFmtId="0" fontId="86" fillId="2" borderId="0" xfId="0" applyFont="1" applyFill="1" applyAlignment="1" applyProtection="1">
      <alignment vertical="center"/>
    </xf>
    <xf numFmtId="0" fontId="75" fillId="2" borderId="0" xfId="0" applyFont="1" applyFill="1" applyAlignment="1" applyProtection="1">
      <alignment vertical="center" wrapText="1"/>
    </xf>
    <xf numFmtId="0" fontId="72" fillId="2" borderId="0" xfId="0" applyFont="1" applyFill="1" applyAlignment="1" applyProtection="1">
      <alignment vertical="center"/>
    </xf>
    <xf numFmtId="0" fontId="86" fillId="2" borderId="0" xfId="0" applyFont="1" applyFill="1" applyAlignment="1" applyProtection="1">
      <alignment vertical="center" wrapText="1"/>
    </xf>
    <xf numFmtId="166" fontId="51" fillId="2" borderId="0" xfId="2" applyNumberFormat="1" applyFont="1" applyFill="1" applyAlignment="1" applyProtection="1">
      <alignment vertical="center"/>
    </xf>
    <xf numFmtId="166" fontId="51" fillId="2" borderId="0" xfId="0" applyNumberFormat="1" applyFont="1" applyFill="1" applyAlignment="1" applyProtection="1">
      <alignment vertical="center"/>
    </xf>
    <xf numFmtId="176" fontId="34" fillId="2" borderId="0" xfId="0" applyNumberFormat="1" applyFont="1" applyFill="1" applyAlignment="1" applyProtection="1">
      <alignment vertical="center"/>
    </xf>
    <xf numFmtId="0" fontId="34" fillId="6" borderId="3" xfId="0" applyFont="1" applyFill="1" applyBorder="1" applyAlignment="1" applyProtection="1">
      <alignment vertical="center"/>
    </xf>
    <xf numFmtId="0" fontId="73" fillId="2" borderId="3" xfId="0" applyFont="1" applyFill="1" applyBorder="1" applyAlignment="1" applyProtection="1">
      <alignment horizontal="center" vertical="center"/>
    </xf>
    <xf numFmtId="0" fontId="34" fillId="4" borderId="0" xfId="0" applyFont="1" applyFill="1" applyAlignment="1" applyProtection="1">
      <alignment vertical="center"/>
    </xf>
    <xf numFmtId="0" fontId="39" fillId="4" borderId="0" xfId="0" applyFont="1" applyFill="1" applyAlignment="1" applyProtection="1">
      <alignment horizontal="left" vertical="center"/>
    </xf>
    <xf numFmtId="0" fontId="61" fillId="2" borderId="0" xfId="0" applyFont="1" applyFill="1" applyBorder="1" applyAlignment="1" applyProtection="1">
      <alignment vertical="center"/>
    </xf>
    <xf numFmtId="167" fontId="61" fillId="2" borderId="0" xfId="10" applyFont="1" applyFill="1" applyBorder="1" applyAlignment="1" applyProtection="1">
      <alignment vertical="center"/>
    </xf>
    <xf numFmtId="0" fontId="57" fillId="2" borderId="0" xfId="0" applyFont="1" applyFill="1" applyBorder="1" applyAlignment="1" applyProtection="1">
      <alignment vertical="center"/>
    </xf>
    <xf numFmtId="0" fontId="61" fillId="0" borderId="0" xfId="0" applyFont="1" applyFill="1" applyAlignment="1" applyProtection="1">
      <alignment vertical="center"/>
    </xf>
    <xf numFmtId="0" fontId="49" fillId="2" borderId="0" xfId="0" applyFont="1" applyFill="1" applyBorder="1" applyAlignment="1" applyProtection="1">
      <alignment horizontal="right" vertical="center"/>
    </xf>
    <xf numFmtId="166" fontId="57" fillId="0" borderId="0" xfId="0" applyNumberFormat="1" applyFont="1" applyFill="1" applyBorder="1" applyAlignment="1" applyProtection="1">
      <alignment vertical="center"/>
    </xf>
    <xf numFmtId="0" fontId="49" fillId="2" borderId="0" xfId="0" applyFont="1" applyFill="1" applyBorder="1" applyAlignment="1" applyProtection="1">
      <alignment horizontal="right" vertical="center" wrapText="1"/>
    </xf>
    <xf numFmtId="0" fontId="49" fillId="2" borderId="120" xfId="0" applyFont="1" applyFill="1" applyBorder="1" applyAlignment="1" applyProtection="1">
      <alignment horizontal="right" vertical="center"/>
    </xf>
    <xf numFmtId="0" fontId="49" fillId="2" borderId="114" xfId="0" applyFont="1" applyFill="1" applyBorder="1" applyAlignment="1" applyProtection="1">
      <alignment horizontal="right" vertical="center"/>
    </xf>
    <xf numFmtId="0" fontId="49" fillId="2" borderId="119" xfId="0" applyFont="1" applyFill="1" applyBorder="1" applyAlignment="1" applyProtection="1">
      <alignment horizontal="right" vertical="center"/>
    </xf>
    <xf numFmtId="0" fontId="34" fillId="2" borderId="0" xfId="0" applyFont="1" applyFill="1" applyBorder="1" applyAlignment="1" applyProtection="1">
      <alignment horizontal="right" vertical="center"/>
    </xf>
    <xf numFmtId="167" fontId="34" fillId="2" borderId="0" xfId="10" applyNumberFormat="1" applyFont="1" applyFill="1" applyBorder="1" applyAlignment="1" applyProtection="1">
      <alignment horizontal="center" vertical="center"/>
    </xf>
    <xf numFmtId="0" fontId="46" fillId="0" borderId="0" xfId="0" applyFont="1" applyFill="1" applyBorder="1" applyAlignment="1" applyProtection="1">
      <alignment vertical="center"/>
    </xf>
    <xf numFmtId="0" fontId="43" fillId="20" borderId="0" xfId="0" applyFont="1" applyFill="1" applyBorder="1" applyAlignment="1" applyProtection="1">
      <alignment vertical="center"/>
    </xf>
    <xf numFmtId="17" fontId="73" fillId="2" borderId="4" xfId="0" applyNumberFormat="1" applyFont="1" applyFill="1" applyBorder="1" applyAlignment="1" applyProtection="1">
      <alignment horizontal="center" vertical="center"/>
    </xf>
    <xf numFmtId="10" fontId="38" fillId="34" borderId="71" xfId="0" applyNumberFormat="1" applyFont="1" applyFill="1" applyBorder="1" applyAlignment="1" applyProtection="1">
      <alignment vertical="center"/>
    </xf>
    <xf numFmtId="10" fontId="38" fillId="34" borderId="72" xfId="0" applyNumberFormat="1" applyFont="1" applyFill="1" applyBorder="1" applyAlignment="1" applyProtection="1">
      <alignment horizontal="left" vertical="center"/>
    </xf>
    <xf numFmtId="167" fontId="90" fillId="2" borderId="0" xfId="10" applyFont="1" applyFill="1" applyBorder="1" applyAlignment="1" applyProtection="1">
      <alignment horizontal="center" vertical="center" wrapText="1"/>
    </xf>
    <xf numFmtId="167" fontId="90" fillId="0" borderId="0" xfId="10" applyFont="1" applyFill="1" applyBorder="1" applyAlignment="1" applyProtection="1">
      <alignment horizontal="center" vertical="center" wrapText="1"/>
    </xf>
    <xf numFmtId="167" fontId="90" fillId="2" borderId="0" xfId="10" applyFont="1" applyFill="1" applyBorder="1" applyAlignment="1" applyProtection="1">
      <alignment horizontal="center" vertical="center"/>
    </xf>
    <xf numFmtId="17" fontId="33" fillId="13" borderId="1" xfId="0" applyNumberFormat="1" applyFont="1" applyFill="1" applyBorder="1" applyAlignment="1" applyProtection="1">
      <alignment horizontal="center" vertical="center"/>
    </xf>
    <xf numFmtId="0" fontId="67" fillId="0" borderId="0" xfId="0" applyFont="1" applyFill="1" applyBorder="1" applyAlignment="1" applyProtection="1">
      <alignment horizontal="center" vertical="center"/>
    </xf>
    <xf numFmtId="166" fontId="67" fillId="0" borderId="0" xfId="2" applyFont="1" applyFill="1" applyBorder="1" applyAlignment="1" applyProtection="1">
      <alignment horizontal="center" vertical="center"/>
    </xf>
    <xf numFmtId="167" fontId="67" fillId="2" borderId="81" xfId="10" applyFont="1" applyFill="1" applyBorder="1" applyAlignment="1" applyProtection="1">
      <alignment horizontal="center" vertical="center"/>
    </xf>
    <xf numFmtId="167" fontId="67" fillId="2" borderId="85" xfId="10" applyFont="1" applyFill="1" applyBorder="1" applyAlignment="1" applyProtection="1">
      <alignment horizontal="center" vertical="center"/>
    </xf>
    <xf numFmtId="0" fontId="49" fillId="2" borderId="0" xfId="0" applyFont="1" applyFill="1" applyBorder="1" applyAlignment="1" applyProtection="1">
      <alignment vertical="center" wrapText="1"/>
    </xf>
    <xf numFmtId="0" fontId="55" fillId="2" borderId="0" xfId="0" applyFont="1" applyFill="1" applyAlignment="1" applyProtection="1">
      <alignment vertical="center"/>
    </xf>
    <xf numFmtId="43" fontId="55" fillId="2" borderId="0" xfId="0" applyNumberFormat="1" applyFont="1" applyFill="1" applyBorder="1" applyAlignment="1" applyProtection="1">
      <alignment vertical="center"/>
    </xf>
    <xf numFmtId="168" fontId="1" fillId="5" borderId="15" xfId="10" applyNumberFormat="1" applyFont="1" applyFill="1" applyBorder="1" applyAlignment="1" applyProtection="1">
      <alignment vertical="center" wrapText="1"/>
    </xf>
    <xf numFmtId="166" fontId="0" fillId="0" borderId="115" xfId="2" applyFont="1" applyBorder="1" applyAlignment="1" applyProtection="1">
      <alignment vertical="center" wrapText="1"/>
    </xf>
    <xf numFmtId="0" fontId="40" fillId="2" borderId="0" xfId="0" applyNumberFormat="1" applyFont="1" applyFill="1" applyBorder="1" applyAlignment="1" applyProtection="1">
      <alignment vertical="center"/>
    </xf>
    <xf numFmtId="166" fontId="40" fillId="2" borderId="0" xfId="0" applyNumberFormat="1" applyFont="1" applyFill="1" applyBorder="1" applyAlignment="1" applyProtection="1">
      <alignment horizontal="center" vertical="center"/>
    </xf>
    <xf numFmtId="0" fontId="67" fillId="0" borderId="0" xfId="0" applyFont="1" applyFill="1" applyBorder="1" applyAlignment="1" applyProtection="1">
      <alignment vertical="center"/>
    </xf>
    <xf numFmtId="166" fontId="67" fillId="0" borderId="81" xfId="2" applyFont="1" applyFill="1" applyBorder="1" applyAlignment="1" applyProtection="1">
      <alignment horizontal="center" vertical="center"/>
    </xf>
    <xf numFmtId="0" fontId="1" fillId="22" borderId="0" xfId="0" applyFont="1" applyFill="1"/>
    <xf numFmtId="17" fontId="0" fillId="22" borderId="0" xfId="0" applyNumberFormat="1" applyFill="1"/>
    <xf numFmtId="14" fontId="0" fillId="22" borderId="0" xfId="0" applyNumberFormat="1" applyFill="1"/>
    <xf numFmtId="0" fontId="0" fillId="22" borderId="0" xfId="0" applyFill="1" applyBorder="1"/>
    <xf numFmtId="0" fontId="71" fillId="20" borderId="0" xfId="0" applyFont="1" applyFill="1" applyBorder="1" applyAlignment="1" applyProtection="1">
      <alignment vertical="center"/>
    </xf>
    <xf numFmtId="14" fontId="34" fillId="2" borderId="124" xfId="0" applyNumberFormat="1" applyFont="1" applyFill="1" applyBorder="1" applyAlignment="1" applyProtection="1">
      <alignment vertical="center"/>
    </xf>
    <xf numFmtId="0" fontId="64" fillId="20" borderId="0" xfId="0" applyFont="1" applyFill="1" applyBorder="1" applyAlignment="1" applyProtection="1">
      <alignment vertical="center"/>
    </xf>
    <xf numFmtId="168" fontId="62" fillId="20" borderId="115" xfId="10" applyNumberFormat="1" applyFont="1" applyFill="1" applyBorder="1" applyAlignment="1" applyProtection="1">
      <alignment vertical="center"/>
    </xf>
    <xf numFmtId="43" fontId="1" fillId="2" borderId="118" xfId="0" applyNumberFormat="1" applyFont="1" applyFill="1" applyBorder="1" applyAlignment="1" applyProtection="1">
      <alignment vertical="center"/>
    </xf>
    <xf numFmtId="0" fontId="67" fillId="2" borderId="0" xfId="0" applyNumberFormat="1" applyFont="1" applyFill="1" applyBorder="1" applyAlignment="1" applyProtection="1">
      <alignment vertical="center"/>
    </xf>
    <xf numFmtId="17" fontId="67" fillId="2" borderId="0" xfId="0" applyNumberFormat="1" applyFont="1" applyFill="1" applyBorder="1" applyAlignment="1" applyProtection="1">
      <alignment horizontal="center" vertical="center"/>
    </xf>
    <xf numFmtId="0" fontId="55" fillId="0" borderId="128" xfId="0" applyFont="1" applyFill="1" applyBorder="1" applyAlignment="1" applyProtection="1">
      <alignment vertical="center"/>
    </xf>
    <xf numFmtId="0" fontId="30" fillId="0" borderId="0" xfId="0" applyFont="1" applyAlignment="1" applyProtection="1">
      <alignment vertical="center" wrapText="1"/>
    </xf>
    <xf numFmtId="168" fontId="30" fillId="0" borderId="0" xfId="0" applyNumberFormat="1" applyFont="1" applyAlignment="1" applyProtection="1">
      <alignment vertical="center" wrapText="1"/>
    </xf>
    <xf numFmtId="43" fontId="31" fillId="0" borderId="0" xfId="0" applyNumberFormat="1" applyFont="1" applyFill="1" applyBorder="1" applyAlignment="1" applyProtection="1">
      <alignment vertical="center" wrapText="1"/>
    </xf>
    <xf numFmtId="0" fontId="31" fillId="0" borderId="0" xfId="0" applyFont="1" applyAlignment="1" applyProtection="1">
      <alignment vertical="center" wrapText="1"/>
    </xf>
    <xf numFmtId="0" fontId="30" fillId="0" borderId="0" xfId="0" applyFont="1" applyFill="1" applyBorder="1" applyAlignment="1" applyProtection="1">
      <alignment vertical="center" wrapText="1"/>
    </xf>
    <xf numFmtId="0" fontId="92" fillId="0" borderId="0" xfId="0" applyFont="1" applyFill="1" applyBorder="1" applyAlignment="1" applyProtection="1">
      <alignment vertical="center"/>
    </xf>
    <xf numFmtId="1" fontId="92" fillId="0" borderId="0" xfId="10" applyNumberFormat="1" applyFont="1" applyFill="1" applyBorder="1" applyAlignment="1" applyProtection="1">
      <alignment vertical="center"/>
    </xf>
    <xf numFmtId="0" fontId="30" fillId="0" borderId="0" xfId="0" applyFont="1" applyFill="1" applyBorder="1" applyAlignment="1" applyProtection="1">
      <alignment vertical="center"/>
    </xf>
    <xf numFmtId="4" fontId="30" fillId="0" borderId="0" xfId="2" applyNumberFormat="1" applyFont="1" applyFill="1" applyBorder="1" applyAlignment="1" applyProtection="1">
      <alignment vertical="center" wrapText="1"/>
    </xf>
    <xf numFmtId="17" fontId="67" fillId="0" borderId="0" xfId="0" applyNumberFormat="1" applyFont="1" applyFill="1" applyBorder="1" applyAlignment="1" applyProtection="1">
      <alignment horizontal="center" vertical="center"/>
    </xf>
    <xf numFmtId="0" fontId="90" fillId="2" borderId="0" xfId="0" applyFont="1" applyFill="1" applyBorder="1" applyAlignment="1" applyProtection="1">
      <alignment horizontal="center" vertical="center" wrapText="1"/>
    </xf>
    <xf numFmtId="17" fontId="67" fillId="13" borderId="71" xfId="0" applyNumberFormat="1" applyFont="1" applyFill="1" applyBorder="1" applyAlignment="1" applyProtection="1">
      <alignment horizontal="center" vertical="center"/>
    </xf>
    <xf numFmtId="17" fontId="49" fillId="2" borderId="0" xfId="0" applyNumberFormat="1" applyFont="1" applyFill="1" applyBorder="1" applyAlignment="1" applyProtection="1">
      <alignment vertical="center"/>
    </xf>
    <xf numFmtId="0" fontId="76" fillId="20" borderId="0" xfId="0" applyFont="1" applyFill="1" applyBorder="1" applyAlignment="1" applyProtection="1">
      <alignment vertical="center" wrapText="1"/>
    </xf>
    <xf numFmtId="0" fontId="47" fillId="2" borderId="0" xfId="0" applyFont="1" applyFill="1" applyBorder="1" applyAlignment="1" applyProtection="1">
      <alignment vertical="center"/>
    </xf>
    <xf numFmtId="179" fontId="34" fillId="2" borderId="0" xfId="0" applyNumberFormat="1" applyFont="1" applyFill="1" applyBorder="1" applyAlignment="1" applyProtection="1">
      <alignment horizontal="center" vertical="center"/>
    </xf>
    <xf numFmtId="179" fontId="34" fillId="0" borderId="0" xfId="0" applyNumberFormat="1" applyFont="1" applyFill="1" applyBorder="1" applyAlignment="1" applyProtection="1">
      <alignment horizontal="center" vertical="center"/>
    </xf>
    <xf numFmtId="179" fontId="34" fillId="2" borderId="0" xfId="4" applyNumberFormat="1" applyFont="1" applyFill="1" applyBorder="1" applyAlignment="1" applyProtection="1">
      <alignment horizontal="center" vertical="center"/>
    </xf>
    <xf numFmtId="0" fontId="34" fillId="2" borderId="129" xfId="0" applyFont="1" applyFill="1" applyBorder="1" applyAlignment="1" applyProtection="1">
      <alignment vertical="center"/>
    </xf>
    <xf numFmtId="0" fontId="53" fillId="34" borderId="119" xfId="0" applyFont="1" applyFill="1" applyBorder="1" applyAlignment="1" applyProtection="1">
      <alignment horizontal="right" vertical="center"/>
    </xf>
    <xf numFmtId="14" fontId="15" fillId="8" borderId="0" xfId="0" applyNumberFormat="1" applyFont="1" applyFill="1" applyAlignment="1" applyProtection="1">
      <alignment vertical="center"/>
    </xf>
    <xf numFmtId="2" fontId="15" fillId="8" borderId="0" xfId="0" applyNumberFormat="1" applyFont="1" applyFill="1" applyAlignment="1" applyProtection="1">
      <alignment vertical="center"/>
    </xf>
    <xf numFmtId="0" fontId="4" fillId="0" borderId="3" xfId="0" applyFont="1" applyBorder="1" applyAlignment="1" applyProtection="1">
      <alignment vertical="center" wrapText="1"/>
    </xf>
    <xf numFmtId="0" fontId="93" fillId="37" borderId="4" xfId="0" applyFont="1" applyFill="1" applyBorder="1" applyAlignment="1" applyProtection="1">
      <alignment vertical="center"/>
    </xf>
    <xf numFmtId="1" fontId="93" fillId="37" borderId="4" xfId="10" applyNumberFormat="1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34" fillId="2" borderId="3" xfId="0" applyFont="1" applyFill="1" applyBorder="1" applyAlignment="1" applyProtection="1">
      <alignment horizontal="left" vertical="center"/>
    </xf>
    <xf numFmtId="0" fontId="15" fillId="8" borderId="0" xfId="0" applyFont="1" applyFill="1" applyAlignment="1" applyProtection="1">
      <alignment horizontal="center" vertical="center"/>
    </xf>
    <xf numFmtId="168" fontId="95" fillId="20" borderId="0" xfId="10" applyNumberFormat="1" applyFont="1" applyFill="1" applyAlignment="1" applyProtection="1">
      <alignment vertical="center"/>
    </xf>
    <xf numFmtId="0" fontId="34" fillId="2" borderId="130" xfId="0" applyFont="1" applyFill="1" applyBorder="1" applyAlignment="1" applyProtection="1">
      <alignment vertical="center"/>
    </xf>
    <xf numFmtId="0" fontId="34" fillId="2" borderId="131" xfId="0" applyFont="1" applyFill="1" applyBorder="1" applyAlignment="1" applyProtection="1">
      <alignment vertical="center"/>
    </xf>
    <xf numFmtId="0" fontId="40" fillId="2" borderId="131" xfId="0" applyFont="1" applyFill="1" applyBorder="1" applyAlignment="1" applyProtection="1">
      <alignment vertical="center"/>
    </xf>
    <xf numFmtId="0" fontId="34" fillId="0" borderId="131" xfId="0" applyFont="1" applyFill="1" applyBorder="1" applyAlignment="1" applyProtection="1">
      <alignment vertical="center"/>
    </xf>
    <xf numFmtId="0" fontId="34" fillId="2" borderId="132" xfId="0" applyFont="1" applyFill="1" applyBorder="1" applyAlignment="1" applyProtection="1">
      <alignment vertical="center"/>
    </xf>
    <xf numFmtId="0" fontId="34" fillId="2" borderId="133" xfId="0" applyFont="1" applyFill="1" applyBorder="1" applyAlignment="1" applyProtection="1">
      <alignment vertical="center"/>
    </xf>
    <xf numFmtId="0" fontId="69" fillId="2" borderId="114" xfId="0" applyFont="1" applyFill="1" applyBorder="1" applyAlignment="1" applyProtection="1">
      <alignment vertical="center" wrapText="1"/>
    </xf>
    <xf numFmtId="0" fontId="40" fillId="2" borderId="114" xfId="0" applyFont="1" applyFill="1" applyBorder="1" applyAlignment="1" applyProtection="1">
      <alignment vertical="center"/>
    </xf>
    <xf numFmtId="0" fontId="40" fillId="2" borderId="114" xfId="0" applyFont="1" applyFill="1" applyBorder="1" applyAlignment="1" applyProtection="1">
      <alignment wrapText="1"/>
    </xf>
    <xf numFmtId="0" fontId="34" fillId="2" borderId="134" xfId="0" applyFont="1" applyFill="1" applyBorder="1" applyAlignment="1" applyProtection="1">
      <alignment vertical="center"/>
    </xf>
    <xf numFmtId="0" fontId="34" fillId="2" borderId="114" xfId="0" applyFont="1" applyFill="1" applyBorder="1" applyAlignment="1" applyProtection="1">
      <alignment vertical="center"/>
    </xf>
    <xf numFmtId="0" fontId="63" fillId="2" borderId="134" xfId="0" applyFont="1" applyFill="1" applyBorder="1" applyAlignment="1" applyProtection="1">
      <alignment horizontal="center" vertical="center"/>
    </xf>
    <xf numFmtId="0" fontId="51" fillId="2" borderId="134" xfId="0" applyFont="1" applyFill="1" applyBorder="1" applyAlignment="1" applyProtection="1">
      <alignment vertical="center"/>
    </xf>
    <xf numFmtId="0" fontId="63" fillId="2" borderId="119" xfId="0" applyFont="1" applyFill="1" applyBorder="1" applyAlignment="1" applyProtection="1">
      <alignment horizontal="center" vertical="center"/>
    </xf>
    <xf numFmtId="0" fontId="34" fillId="3" borderId="134" xfId="0" applyFont="1" applyFill="1" applyBorder="1" applyAlignment="1" applyProtection="1">
      <alignment horizontal="right" vertical="center"/>
    </xf>
    <xf numFmtId="0" fontId="97" fillId="0" borderId="128" xfId="0" applyFont="1" applyFill="1" applyBorder="1" applyAlignment="1" applyProtection="1">
      <alignment vertical="center"/>
    </xf>
    <xf numFmtId="0" fontId="97" fillId="0" borderId="0" xfId="0" applyFont="1" applyFill="1" applyBorder="1" applyAlignment="1" applyProtection="1">
      <alignment vertical="center"/>
    </xf>
    <xf numFmtId="0" fontId="53" fillId="0" borderId="0" xfId="0" applyFont="1" applyFill="1" applyBorder="1" applyAlignment="1" applyProtection="1">
      <alignment vertical="center"/>
    </xf>
    <xf numFmtId="0" fontId="36" fillId="0" borderId="0" xfId="0" applyFont="1" applyFill="1" applyBorder="1" applyAlignment="1" applyProtection="1">
      <alignment vertical="center"/>
    </xf>
    <xf numFmtId="0" fontId="53" fillId="34" borderId="122" xfId="0" applyFont="1" applyFill="1" applyBorder="1" applyAlignment="1" applyProtection="1">
      <alignment vertical="center"/>
    </xf>
    <xf numFmtId="0" fontId="88" fillId="2" borderId="136" xfId="0" applyFont="1" applyFill="1" applyBorder="1" applyAlignment="1" applyProtection="1">
      <alignment horizontal="right" vertical="center"/>
    </xf>
    <xf numFmtId="168" fontId="61" fillId="20" borderId="121" xfId="10" applyNumberFormat="1" applyFont="1" applyFill="1" applyBorder="1" applyAlignment="1" applyProtection="1">
      <alignment vertical="center"/>
    </xf>
    <xf numFmtId="0" fontId="34" fillId="2" borderId="137" xfId="0" applyFont="1" applyFill="1" applyBorder="1" applyAlignment="1" applyProtection="1">
      <alignment vertical="center"/>
    </xf>
    <xf numFmtId="0" fontId="35" fillId="2" borderId="0" xfId="0" applyFont="1" applyFill="1" applyBorder="1" applyAlignment="1" applyProtection="1">
      <alignment vertical="center"/>
    </xf>
    <xf numFmtId="0" fontId="42" fillId="2" borderId="0" xfId="0" applyFont="1" applyFill="1" applyBorder="1" applyAlignment="1" applyProtection="1">
      <alignment vertical="center"/>
    </xf>
    <xf numFmtId="0" fontId="41" fillId="2" borderId="0" xfId="0" applyFont="1" applyFill="1" applyBorder="1" applyAlignment="1" applyProtection="1">
      <alignment vertical="center"/>
    </xf>
    <xf numFmtId="0" fontId="45" fillId="20" borderId="0" xfId="0" applyFont="1" applyFill="1" applyBorder="1" applyAlignment="1" applyProtection="1">
      <alignment vertical="center"/>
    </xf>
    <xf numFmtId="0" fontId="49" fillId="3" borderId="0" xfId="0" applyFont="1" applyFill="1" applyBorder="1" applyAlignment="1" applyProtection="1">
      <alignment horizontal="center" vertical="center"/>
    </xf>
    <xf numFmtId="0" fontId="49" fillId="3" borderId="0" xfId="0" applyFont="1" applyFill="1" applyBorder="1" applyAlignment="1" applyProtection="1">
      <alignment horizontal="right" vertical="center"/>
    </xf>
    <xf numFmtId="0" fontId="50" fillId="3" borderId="0" xfId="0" applyFont="1" applyFill="1" applyBorder="1" applyAlignment="1" applyProtection="1">
      <alignment horizontal="right" vertical="center"/>
    </xf>
    <xf numFmtId="0" fontId="51" fillId="3" borderId="0" xfId="0" applyFont="1" applyFill="1" applyBorder="1" applyAlignment="1" applyProtection="1">
      <alignment vertical="center"/>
    </xf>
    <xf numFmtId="0" fontId="51" fillId="0" borderId="0" xfId="0" applyFont="1" applyFill="1" applyBorder="1" applyAlignment="1" applyProtection="1">
      <alignment vertical="center"/>
    </xf>
    <xf numFmtId="0" fontId="48" fillId="2" borderId="0" xfId="0" applyFont="1" applyFill="1" applyBorder="1" applyAlignment="1" applyProtection="1">
      <alignment vertical="center"/>
    </xf>
    <xf numFmtId="0" fontId="51" fillId="3" borderId="0" xfId="0" applyFont="1" applyFill="1" applyBorder="1" applyAlignment="1" applyProtection="1">
      <alignment horizontal="right" vertical="center"/>
    </xf>
    <xf numFmtId="0" fontId="50" fillId="0" borderId="0" xfId="0" applyFont="1" applyFill="1" applyBorder="1" applyAlignment="1" applyProtection="1">
      <alignment horizontal="right" vertical="center"/>
    </xf>
    <xf numFmtId="0" fontId="77" fillId="2" borderId="0" xfId="0" applyFont="1" applyFill="1" applyBorder="1" applyAlignment="1" applyProtection="1">
      <alignment vertical="center"/>
    </xf>
    <xf numFmtId="0" fontId="34" fillId="0" borderId="130" xfId="0" applyFont="1" applyFill="1" applyBorder="1" applyAlignment="1" applyProtection="1">
      <alignment vertical="center"/>
    </xf>
    <xf numFmtId="0" fontId="46" fillId="2" borderId="0" xfId="0" applyFont="1" applyFill="1" applyBorder="1" applyAlignment="1" applyProtection="1">
      <alignment vertical="center"/>
    </xf>
    <xf numFmtId="0" fontId="94" fillId="2" borderId="0" xfId="0" applyFont="1" applyFill="1" applyBorder="1" applyAlignment="1" applyProtection="1">
      <alignment vertical="center"/>
    </xf>
    <xf numFmtId="0" fontId="58" fillId="2" borderId="0" xfId="0" applyFont="1" applyFill="1" applyBorder="1" applyAlignment="1" applyProtection="1">
      <alignment horizontal="right" vertical="center"/>
    </xf>
    <xf numFmtId="0" fontId="61" fillId="20" borderId="0" xfId="0" applyFont="1" applyFill="1" applyBorder="1" applyAlignment="1" applyProtection="1">
      <alignment horizontal="right" vertical="center" wrapText="1"/>
    </xf>
    <xf numFmtId="0" fontId="61" fillId="2" borderId="0" xfId="0" applyFont="1" applyFill="1" applyBorder="1" applyAlignment="1" applyProtection="1">
      <alignment horizontal="right" vertical="center"/>
    </xf>
    <xf numFmtId="0" fontId="63" fillId="2" borderId="0" xfId="0" applyFont="1" applyFill="1" applyBorder="1" applyAlignment="1" applyProtection="1">
      <alignment vertical="center"/>
    </xf>
    <xf numFmtId="0" fontId="57" fillId="2" borderId="0" xfId="0" applyFont="1" applyFill="1" applyBorder="1" applyAlignment="1" applyProtection="1">
      <alignment horizontal="right" vertical="center"/>
    </xf>
    <xf numFmtId="165" fontId="40" fillId="2" borderId="0" xfId="0" applyNumberFormat="1" applyFont="1" applyFill="1" applyBorder="1" applyAlignment="1" applyProtection="1">
      <alignment vertical="center"/>
    </xf>
    <xf numFmtId="166" fontId="57" fillId="2" borderId="0" xfId="0" applyNumberFormat="1" applyFont="1" applyFill="1" applyBorder="1" applyAlignment="1" applyProtection="1">
      <alignment vertical="center"/>
    </xf>
    <xf numFmtId="167" fontId="65" fillId="2" borderId="0" xfId="10" applyFont="1" applyFill="1" applyBorder="1" applyAlignment="1" applyProtection="1">
      <alignment horizontal="right" vertical="center" wrapText="1"/>
    </xf>
    <xf numFmtId="0" fontId="89" fillId="2" borderId="0" xfId="0" applyFont="1" applyFill="1" applyBorder="1" applyAlignment="1" applyProtection="1">
      <alignment vertical="center"/>
    </xf>
    <xf numFmtId="0" fontId="36" fillId="2" borderId="0" xfId="0" applyFont="1" applyFill="1" applyBorder="1" applyAlignment="1" applyProtection="1">
      <alignment horizontal="center" vertical="center"/>
    </xf>
    <xf numFmtId="166" fontId="66" fillId="2" borderId="0" xfId="2" applyFont="1" applyFill="1" applyBorder="1" applyAlignment="1" applyProtection="1">
      <alignment vertical="center"/>
    </xf>
    <xf numFmtId="43" fontId="57" fillId="2" borderId="0" xfId="0" applyNumberFormat="1" applyFont="1" applyFill="1" applyBorder="1" applyAlignment="1" applyProtection="1">
      <alignment vertical="center"/>
    </xf>
    <xf numFmtId="0" fontId="67" fillId="2" borderId="0" xfId="0" applyFont="1" applyFill="1" applyBorder="1" applyAlignment="1" applyProtection="1">
      <alignment horizontal="right" vertical="center" wrapText="1"/>
    </xf>
    <xf numFmtId="166" fontId="51" fillId="2" borderId="0" xfId="2" applyFont="1" applyFill="1" applyBorder="1" applyAlignment="1" applyProtection="1">
      <alignment vertical="center"/>
    </xf>
    <xf numFmtId="0" fontId="63" fillId="2" borderId="0" xfId="0" applyFont="1" applyFill="1" applyBorder="1" applyAlignment="1" applyProtection="1">
      <alignment horizontal="center" vertical="center"/>
    </xf>
    <xf numFmtId="0" fontId="68" fillId="2" borderId="0" xfId="0" applyFont="1" applyFill="1" applyBorder="1" applyAlignment="1" applyProtection="1">
      <alignment vertical="center"/>
    </xf>
    <xf numFmtId="0" fontId="63" fillId="2" borderId="0" xfId="0" applyFont="1" applyFill="1" applyBorder="1" applyAlignment="1" applyProtection="1">
      <alignment horizontal="right" vertical="center"/>
    </xf>
    <xf numFmtId="0" fontId="46" fillId="2" borderId="0" xfId="0" applyFont="1" applyFill="1" applyBorder="1" applyAlignment="1" applyProtection="1">
      <alignment horizontal="center" vertical="center"/>
    </xf>
    <xf numFmtId="0" fontId="40" fillId="0" borderId="0" xfId="0" applyFont="1" applyFill="1" applyBorder="1" applyAlignment="1" applyProtection="1">
      <alignment vertical="center"/>
    </xf>
    <xf numFmtId="14" fontId="40" fillId="2" borderId="0" xfId="0" applyNumberFormat="1" applyFont="1" applyFill="1" applyBorder="1" applyAlignment="1" applyProtection="1">
      <alignment vertical="center"/>
    </xf>
    <xf numFmtId="0" fontId="58" fillId="2" borderId="0" xfId="0" applyFont="1" applyFill="1" applyBorder="1" applyAlignment="1" applyProtection="1">
      <alignment vertical="center" wrapText="1"/>
    </xf>
    <xf numFmtId="166" fontId="51" fillId="2" borderId="0" xfId="2" applyNumberFormat="1" applyFont="1" applyFill="1" applyBorder="1" applyAlignment="1" applyProtection="1">
      <alignment vertical="center"/>
    </xf>
    <xf numFmtId="166" fontId="51" fillId="2" borderId="0" xfId="0" applyNumberFormat="1" applyFont="1" applyFill="1" applyBorder="1" applyAlignment="1" applyProtection="1">
      <alignment vertical="center"/>
    </xf>
    <xf numFmtId="0" fontId="51" fillId="2" borderId="0" xfId="0" applyFont="1" applyFill="1" applyBorder="1" applyAlignment="1" applyProtection="1">
      <alignment vertical="center"/>
    </xf>
    <xf numFmtId="166" fontId="59" fillId="2" borderId="0" xfId="2" applyFont="1" applyFill="1" applyBorder="1" applyAlignment="1" applyProtection="1">
      <alignment horizontal="center" vertical="center"/>
    </xf>
    <xf numFmtId="176" fontId="59" fillId="2" borderId="0" xfId="2" applyNumberFormat="1" applyFont="1" applyFill="1" applyBorder="1" applyAlignment="1" applyProtection="1">
      <alignment horizontal="center" vertical="center"/>
    </xf>
    <xf numFmtId="0" fontId="86" fillId="2" borderId="0" xfId="0" applyFont="1" applyFill="1" applyBorder="1" applyAlignment="1" applyProtection="1">
      <alignment vertical="center" wrapText="1"/>
    </xf>
    <xf numFmtId="0" fontId="34" fillId="2" borderId="138" xfId="0" applyFont="1" applyFill="1" applyBorder="1" applyAlignment="1" applyProtection="1">
      <alignment vertical="center"/>
    </xf>
    <xf numFmtId="0" fontId="34" fillId="2" borderId="128" xfId="0" applyFont="1" applyFill="1" applyBorder="1" applyAlignment="1" applyProtection="1">
      <alignment vertical="center"/>
    </xf>
    <xf numFmtId="168" fontId="0" fillId="22" borderId="3" xfId="10" applyNumberFormat="1" applyFont="1" applyFill="1" applyBorder="1" applyAlignment="1" applyProtection="1">
      <alignment vertical="center"/>
    </xf>
    <xf numFmtId="167" fontId="5" fillId="0" borderId="3" xfId="10" applyFont="1" applyFill="1" applyBorder="1" applyAlignment="1" applyProtection="1">
      <alignment vertical="center" wrapText="1"/>
    </xf>
    <xf numFmtId="10" fontId="5" fillId="0" borderId="3" xfId="0" applyNumberFormat="1" applyFont="1" applyFill="1" applyBorder="1" applyAlignment="1" applyProtection="1">
      <alignment vertical="center" wrapText="1"/>
    </xf>
    <xf numFmtId="0" fontId="4" fillId="0" borderId="3" xfId="0" applyFont="1" applyFill="1" applyBorder="1" applyAlignment="1" applyProtection="1">
      <alignment vertical="center" wrapText="1"/>
    </xf>
    <xf numFmtId="179" fontId="4" fillId="0" borderId="3" xfId="0" applyNumberFormat="1" applyFont="1" applyFill="1" applyBorder="1" applyAlignment="1" applyProtection="1">
      <alignment vertical="center" wrapText="1"/>
    </xf>
    <xf numFmtId="0" fontId="99" fillId="0" borderId="0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 applyProtection="1">
      <alignment wrapText="1"/>
    </xf>
    <xf numFmtId="0" fontId="60" fillId="0" borderId="0" xfId="0" applyFont="1" applyFill="1" applyBorder="1" applyAlignment="1" applyProtection="1">
      <alignment vertical="center" wrapText="1"/>
    </xf>
    <xf numFmtId="0" fontId="67" fillId="2" borderId="7" xfId="0" applyFont="1" applyFill="1" applyBorder="1" applyAlignment="1" applyProtection="1">
      <alignment horizontal="center" vertical="center" wrapText="1"/>
    </xf>
    <xf numFmtId="166" fontId="64" fillId="35" borderId="110" xfId="2" applyFont="1" applyFill="1" applyBorder="1" applyAlignment="1" applyProtection="1">
      <alignment horizontal="center" vertical="center" wrapText="1"/>
      <protection locked="0"/>
    </xf>
    <xf numFmtId="17" fontId="49" fillId="2" borderId="0" xfId="0" applyNumberFormat="1" applyFont="1" applyFill="1" applyBorder="1" applyAlignment="1" applyProtection="1">
      <alignment horizontal="center" vertical="center"/>
    </xf>
    <xf numFmtId="0" fontId="49" fillId="2" borderId="0" xfId="0" applyNumberFormat="1" applyFont="1" applyFill="1" applyBorder="1" applyAlignment="1" applyProtection="1">
      <alignment vertical="center"/>
    </xf>
    <xf numFmtId="0" fontId="49" fillId="0" borderId="0" xfId="0" applyNumberFormat="1" applyFont="1" applyFill="1" applyBorder="1" applyAlignment="1" applyProtection="1">
      <alignment horizontal="center" vertical="center"/>
    </xf>
    <xf numFmtId="167" fontId="36" fillId="2" borderId="0" xfId="10" applyFont="1" applyFill="1" applyBorder="1" applyAlignment="1" applyProtection="1">
      <alignment horizontal="center" vertical="center"/>
    </xf>
    <xf numFmtId="0" fontId="36" fillId="0" borderId="0" xfId="0" applyFont="1" applyFill="1" applyBorder="1" applyAlignment="1" applyProtection="1">
      <alignment horizontal="center" vertical="center"/>
    </xf>
    <xf numFmtId="166" fontId="36" fillId="0" borderId="0" xfId="2" applyFont="1" applyFill="1" applyBorder="1" applyAlignment="1" applyProtection="1">
      <alignment horizontal="center" vertical="center"/>
    </xf>
    <xf numFmtId="167" fontId="49" fillId="2" borderId="0" xfId="10" applyFont="1" applyFill="1" applyBorder="1" applyAlignment="1" applyProtection="1">
      <alignment horizontal="center" vertical="center"/>
    </xf>
    <xf numFmtId="166" fontId="49" fillId="0" borderId="0" xfId="2" applyFont="1" applyFill="1" applyBorder="1" applyAlignment="1" applyProtection="1">
      <alignment horizontal="center" vertical="center"/>
    </xf>
    <xf numFmtId="0" fontId="49" fillId="0" borderId="0" xfId="0" applyFont="1" applyFill="1" applyBorder="1" applyAlignment="1" applyProtection="1">
      <alignment horizontal="center" vertical="center" wrapText="1"/>
    </xf>
    <xf numFmtId="0" fontId="36" fillId="0" borderId="0" xfId="2" applyNumberFormat="1" applyFont="1" applyFill="1" applyBorder="1" applyAlignment="1" applyProtection="1">
      <alignment horizontal="center" vertical="center"/>
    </xf>
    <xf numFmtId="0" fontId="49" fillId="0" borderId="0" xfId="2" applyNumberFormat="1" applyFont="1" applyFill="1" applyBorder="1" applyAlignment="1" applyProtection="1">
      <alignment horizontal="center" vertical="center"/>
    </xf>
    <xf numFmtId="0" fontId="69" fillId="2" borderId="0" xfId="0" applyFont="1" applyFill="1" applyBorder="1" applyAlignment="1" applyProtection="1">
      <alignment horizontal="center" vertical="center"/>
    </xf>
    <xf numFmtId="167" fontId="69" fillId="2" borderId="0" xfId="10" applyFont="1" applyFill="1" applyBorder="1" applyAlignment="1" applyProtection="1">
      <alignment horizontal="center" vertical="center"/>
    </xf>
    <xf numFmtId="0" fontId="49" fillId="30" borderId="72" xfId="0" applyNumberFormat="1" applyFont="1" applyFill="1" applyBorder="1" applyAlignment="1" applyProtection="1">
      <alignment horizontal="center" vertical="center" wrapText="1"/>
    </xf>
    <xf numFmtId="0" fontId="49" fillId="2" borderId="0" xfId="0" applyFont="1" applyFill="1" applyBorder="1" applyAlignment="1" applyProtection="1">
      <alignment horizontal="center" vertical="center"/>
    </xf>
    <xf numFmtId="167" fontId="57" fillId="2" borderId="0" xfId="10" applyFont="1" applyFill="1" applyBorder="1" applyAlignment="1" applyProtection="1">
      <alignment vertical="center"/>
    </xf>
    <xf numFmtId="10" fontId="49" fillId="31" borderId="3" xfId="4" applyNumberFormat="1" applyFont="1" applyFill="1" applyBorder="1" applyAlignment="1" applyProtection="1">
      <alignment horizontal="center" vertical="center"/>
    </xf>
    <xf numFmtId="166" fontId="49" fillId="0" borderId="0" xfId="2" applyNumberFormat="1" applyFont="1" applyFill="1" applyBorder="1" applyAlignment="1" applyProtection="1">
      <alignment horizontal="center" vertical="center"/>
    </xf>
    <xf numFmtId="10" fontId="49" fillId="0" borderId="0" xfId="4" applyNumberFormat="1" applyFont="1" applyFill="1" applyBorder="1" applyAlignment="1" applyProtection="1">
      <alignment horizontal="center" vertical="center"/>
    </xf>
    <xf numFmtId="0" fontId="49" fillId="35" borderId="121" xfId="0" applyFont="1" applyFill="1" applyBorder="1" applyAlignment="1" applyProtection="1">
      <alignment horizontal="center" vertical="center"/>
      <protection locked="0"/>
    </xf>
    <xf numFmtId="0" fontId="49" fillId="35" borderId="116" xfId="0" applyFont="1" applyFill="1" applyBorder="1" applyAlignment="1" applyProtection="1">
      <alignment horizontal="center" vertical="center"/>
      <protection locked="0"/>
    </xf>
    <xf numFmtId="0" fontId="49" fillId="35" borderId="122" xfId="0" applyFont="1" applyFill="1" applyBorder="1" applyAlignment="1" applyProtection="1">
      <alignment horizontal="center" vertical="center"/>
      <protection locked="0"/>
    </xf>
    <xf numFmtId="0" fontId="49" fillId="35" borderId="119" xfId="0" applyFont="1" applyFill="1" applyBorder="1" applyAlignment="1" applyProtection="1">
      <alignment horizontal="center" vertical="center"/>
      <protection locked="0"/>
    </xf>
    <xf numFmtId="0" fontId="49" fillId="35" borderId="0" xfId="0" applyNumberFormat="1" applyFont="1" applyFill="1" applyBorder="1" applyAlignment="1" applyProtection="1">
      <alignment horizontal="center" vertical="center"/>
      <protection locked="0"/>
    </xf>
    <xf numFmtId="0" fontId="49" fillId="35" borderId="114" xfId="0" applyNumberFormat="1" applyFont="1" applyFill="1" applyBorder="1" applyAlignment="1" applyProtection="1">
      <alignment horizontal="center" vertical="center"/>
      <protection locked="0"/>
    </xf>
    <xf numFmtId="0" fontId="51" fillId="2" borderId="119" xfId="0" applyFont="1" applyFill="1" applyBorder="1" applyAlignment="1" applyProtection="1">
      <alignment vertical="center"/>
    </xf>
    <xf numFmtId="4" fontId="34" fillId="0" borderId="0" xfId="0" applyNumberFormat="1" applyFont="1" applyFill="1" applyAlignment="1" applyProtection="1">
      <alignment vertical="center"/>
    </xf>
    <xf numFmtId="4" fontId="34" fillId="2" borderId="0" xfId="0" applyNumberFormat="1" applyFont="1" applyFill="1" applyAlignment="1" applyProtection="1">
      <alignment vertical="center"/>
    </xf>
    <xf numFmtId="0" fontId="99" fillId="0" borderId="140" xfId="0" applyFont="1" applyFill="1" applyBorder="1" applyAlignment="1" applyProtection="1">
      <alignment horizontal="center" vertical="center"/>
    </xf>
    <xf numFmtId="4" fontId="40" fillId="2" borderId="0" xfId="0" applyNumberFormat="1" applyFont="1" applyFill="1" applyBorder="1" applyAlignment="1" applyProtection="1">
      <alignment vertical="center"/>
    </xf>
    <xf numFmtId="8" fontId="40" fillId="2" borderId="0" xfId="0" applyNumberFormat="1" applyFont="1" applyFill="1" applyBorder="1" applyAlignment="1" applyProtection="1">
      <alignment vertical="center"/>
    </xf>
    <xf numFmtId="4" fontId="0" fillId="0" borderId="0" xfId="0" applyNumberFormat="1" applyAlignment="1">
      <alignment horizontal="center" vertical="center"/>
    </xf>
    <xf numFmtId="176" fontId="73" fillId="2" borderId="4" xfId="2" applyNumberFormat="1" applyFont="1" applyFill="1" applyBorder="1" applyAlignment="1" applyProtection="1">
      <alignment horizontal="center" vertical="center"/>
    </xf>
    <xf numFmtId="167" fontId="67" fillId="2" borderId="0" xfId="10" applyFont="1" applyFill="1" applyBorder="1" applyAlignment="1" applyProtection="1">
      <alignment horizontal="center" vertical="center"/>
    </xf>
    <xf numFmtId="0" fontId="67" fillId="2" borderId="87" xfId="0" applyFont="1" applyFill="1" applyBorder="1" applyAlignment="1" applyProtection="1">
      <alignment horizontal="center" vertical="center" wrapText="1"/>
    </xf>
    <xf numFmtId="166" fontId="44" fillId="13" borderId="88" xfId="2" applyFont="1" applyFill="1" applyBorder="1" applyAlignment="1" applyProtection="1">
      <alignment horizontal="center" vertical="center"/>
    </xf>
    <xf numFmtId="166" fontId="44" fillId="13" borderId="81" xfId="2" applyFont="1" applyFill="1" applyBorder="1" applyAlignment="1" applyProtection="1">
      <alignment horizontal="center" vertical="center"/>
    </xf>
    <xf numFmtId="0" fontId="34" fillId="2" borderId="0" xfId="0" applyFont="1" applyFill="1" applyBorder="1" applyAlignment="1" applyProtection="1">
      <alignment horizontal="center" vertical="center"/>
    </xf>
    <xf numFmtId="0" fontId="48" fillId="2" borderId="4" xfId="0" applyFont="1" applyFill="1" applyBorder="1" applyAlignment="1" applyProtection="1">
      <alignment horizontal="left" vertical="center"/>
    </xf>
    <xf numFmtId="0" fontId="49" fillId="2" borderId="0" xfId="0" applyFont="1" applyFill="1" applyBorder="1" applyAlignment="1" applyProtection="1">
      <alignment horizontal="center" vertical="center" wrapText="1"/>
    </xf>
    <xf numFmtId="0" fontId="67" fillId="2" borderId="0" xfId="0" applyFont="1" applyFill="1" applyBorder="1" applyAlignment="1" applyProtection="1">
      <alignment horizontal="center" vertical="center"/>
    </xf>
    <xf numFmtId="0" fontId="48" fillId="5" borderId="27" xfId="0" applyFont="1" applyFill="1" applyBorder="1" applyAlignment="1" applyProtection="1">
      <alignment horizontal="center" vertical="center"/>
    </xf>
    <xf numFmtId="0" fontId="48" fillId="5" borderId="21" xfId="0" applyFont="1" applyFill="1" applyBorder="1" applyAlignment="1" applyProtection="1">
      <alignment horizontal="center" vertical="center"/>
    </xf>
    <xf numFmtId="0" fontId="34" fillId="2" borderId="0" xfId="0" applyFont="1" applyFill="1" applyBorder="1" applyAlignment="1" applyProtection="1">
      <alignment horizontal="center" vertical="center" wrapText="1"/>
    </xf>
    <xf numFmtId="0" fontId="48" fillId="2" borderId="0" xfId="0" applyFont="1" applyFill="1" applyBorder="1" applyAlignment="1" applyProtection="1">
      <alignment horizontal="center" vertical="center" wrapText="1"/>
    </xf>
    <xf numFmtId="7" fontId="74" fillId="2" borderId="0" xfId="0" applyNumberFormat="1" applyFont="1" applyFill="1" applyBorder="1" applyAlignment="1" applyProtection="1">
      <alignment horizontal="center" vertical="center"/>
    </xf>
    <xf numFmtId="178" fontId="74" fillId="2" borderId="0" xfId="0" applyNumberFormat="1" applyFont="1" applyFill="1" applyBorder="1" applyAlignment="1" applyProtection="1">
      <alignment horizontal="center" vertical="center"/>
    </xf>
    <xf numFmtId="17" fontId="67" fillId="13" borderId="1" xfId="0" applyNumberFormat="1" applyFont="1" applyFill="1" applyBorder="1" applyAlignment="1" applyProtection="1">
      <alignment horizontal="center" vertical="center"/>
    </xf>
    <xf numFmtId="167" fontId="49" fillId="2" borderId="0" xfId="10" applyFont="1" applyFill="1" applyBorder="1" applyAlignment="1" applyProtection="1">
      <alignment horizontal="center" vertical="center" wrapText="1"/>
    </xf>
    <xf numFmtId="0" fontId="53" fillId="34" borderId="115" xfId="0" applyNumberFormat="1" applyFont="1" applyFill="1" applyBorder="1" applyAlignment="1" applyProtection="1">
      <alignment horizontal="center" vertical="center"/>
    </xf>
    <xf numFmtId="0" fontId="70" fillId="0" borderId="0" xfId="0" applyFont="1" applyFill="1" applyBorder="1" applyAlignment="1" applyProtection="1">
      <alignment horizontal="center" vertical="center" wrapText="1"/>
    </xf>
    <xf numFmtId="17" fontId="49" fillId="0" borderId="0" xfId="0" applyNumberFormat="1" applyFont="1" applyFill="1" applyBorder="1" applyAlignment="1" applyProtection="1">
      <alignment horizontal="center" vertical="center"/>
    </xf>
    <xf numFmtId="164" fontId="101" fillId="23" borderId="70" xfId="0" applyNumberFormat="1" applyFont="1" applyFill="1" applyBorder="1" applyAlignment="1">
      <alignment horizontal="center" vertical="center" wrapText="1"/>
    </xf>
    <xf numFmtId="0" fontId="49" fillId="35" borderId="0" xfId="0" applyFont="1" applyFill="1" applyBorder="1" applyAlignment="1" applyProtection="1">
      <alignment horizontal="left" vertical="center"/>
      <protection locked="0"/>
    </xf>
    <xf numFmtId="14" fontId="52" fillId="35" borderId="0" xfId="2" applyNumberFormat="1" applyFont="1" applyFill="1" applyBorder="1" applyAlignment="1" applyProtection="1">
      <alignment horizontal="center" vertical="center"/>
    </xf>
    <xf numFmtId="14" fontId="53" fillId="34" borderId="0" xfId="2" applyNumberFormat="1" applyFont="1" applyFill="1" applyBorder="1" applyAlignment="1" applyProtection="1">
      <alignment horizontal="center" vertical="center"/>
    </xf>
    <xf numFmtId="166" fontId="53" fillId="34" borderId="0" xfId="2" applyFont="1" applyFill="1" applyBorder="1" applyAlignment="1" applyProtection="1">
      <alignment horizontal="center" vertical="center"/>
    </xf>
    <xf numFmtId="14" fontId="52" fillId="0" borderId="0" xfId="2" applyNumberFormat="1" applyFont="1" applyFill="1" applyBorder="1" applyAlignment="1" applyProtection="1">
      <alignment horizontal="center" vertical="center"/>
    </xf>
    <xf numFmtId="0" fontId="49" fillId="35" borderId="3" xfId="0" applyNumberFormat="1" applyFont="1" applyFill="1" applyBorder="1" applyAlignment="1" applyProtection="1">
      <alignment horizontal="center" vertical="center"/>
      <protection locked="0"/>
    </xf>
    <xf numFmtId="0" fontId="36" fillId="32" borderId="3" xfId="0" applyNumberFormat="1" applyFont="1" applyFill="1" applyBorder="1" applyAlignment="1" applyProtection="1">
      <alignment horizontal="center" vertical="center"/>
      <protection locked="0"/>
    </xf>
    <xf numFmtId="0" fontId="4" fillId="5" borderId="3" xfId="0" applyFont="1" applyFill="1" applyBorder="1" applyAlignment="1">
      <alignment horizontal="center" vertical="center"/>
    </xf>
    <xf numFmtId="0" fontId="102" fillId="0" borderId="0" xfId="0" applyFont="1" applyFill="1" applyAlignment="1">
      <alignment vertical="center"/>
    </xf>
    <xf numFmtId="0" fontId="4" fillId="19" borderId="40" xfId="0" applyFont="1" applyFill="1" applyBorder="1" applyAlignment="1">
      <alignment horizontal="center" vertical="center"/>
    </xf>
    <xf numFmtId="164" fontId="101" fillId="19" borderId="70" xfId="0" applyNumberFormat="1" applyFont="1" applyFill="1" applyBorder="1" applyAlignment="1">
      <alignment horizontal="center" vertical="center" wrapText="1"/>
    </xf>
    <xf numFmtId="0" fontId="40" fillId="19" borderId="0" xfId="0" applyFont="1" applyFill="1" applyAlignment="1" applyProtection="1">
      <alignment vertical="center"/>
    </xf>
    <xf numFmtId="10" fontId="40" fillId="19" borderId="0" xfId="0" applyNumberFormat="1" applyFont="1" applyFill="1" applyAlignment="1" applyProtection="1">
      <alignment horizontal="center" vertical="center"/>
    </xf>
    <xf numFmtId="166" fontId="40" fillId="19" borderId="0" xfId="2" applyFont="1" applyFill="1" applyAlignment="1" applyProtection="1">
      <alignment vertical="center"/>
    </xf>
    <xf numFmtId="0" fontId="34" fillId="19" borderId="0" xfId="0" applyFont="1" applyFill="1" applyAlignment="1" applyProtection="1">
      <alignment vertical="center"/>
    </xf>
    <xf numFmtId="0" fontId="34" fillId="19" borderId="3" xfId="0" applyFont="1" applyFill="1" applyBorder="1" applyAlignment="1" applyProtection="1">
      <alignment vertical="center"/>
    </xf>
    <xf numFmtId="4" fontId="0" fillId="3" borderId="0" xfId="0" applyNumberFormat="1" applyFill="1" applyAlignment="1">
      <alignment vertical="center"/>
    </xf>
    <xf numFmtId="0" fontId="49" fillId="35" borderId="115" xfId="0" applyNumberFormat="1" applyFont="1" applyFill="1" applyBorder="1" applyAlignment="1" applyProtection="1">
      <alignment horizontal="center" vertical="center"/>
      <protection locked="0"/>
    </xf>
    <xf numFmtId="166" fontId="49" fillId="36" borderId="0" xfId="2" applyFont="1" applyFill="1" applyBorder="1" applyAlignment="1" applyProtection="1">
      <alignment horizontal="center" vertical="center"/>
      <protection locked="0"/>
    </xf>
    <xf numFmtId="184" fontId="53" fillId="34" borderId="0" xfId="2" applyNumberFormat="1" applyFont="1" applyFill="1" applyBorder="1" applyAlignment="1" applyProtection="1">
      <alignment horizontal="center" vertical="center"/>
    </xf>
    <xf numFmtId="166" fontId="89" fillId="33" borderId="122" xfId="2" applyFont="1" applyFill="1" applyBorder="1" applyAlignment="1" applyProtection="1">
      <alignment horizontal="center" vertical="center"/>
    </xf>
    <xf numFmtId="166" fontId="89" fillId="33" borderId="114" xfId="2" applyFont="1" applyFill="1" applyBorder="1" applyAlignment="1" applyProtection="1">
      <alignment horizontal="center" vertical="center"/>
    </xf>
    <xf numFmtId="166" fontId="89" fillId="33" borderId="125" xfId="2" applyFont="1" applyFill="1" applyBorder="1" applyAlignment="1" applyProtection="1">
      <alignment horizontal="center" vertical="center"/>
    </xf>
    <xf numFmtId="166" fontId="89" fillId="33" borderId="135" xfId="2" applyFont="1" applyFill="1" applyBorder="1" applyAlignment="1" applyProtection="1">
      <alignment horizontal="center" vertical="center"/>
    </xf>
    <xf numFmtId="166" fontId="89" fillId="33" borderId="119" xfId="2" applyFont="1" applyFill="1" applyBorder="1" applyAlignment="1" applyProtection="1">
      <alignment horizontal="center" vertical="center"/>
    </xf>
    <xf numFmtId="166" fontId="89" fillId="33" borderId="121" xfId="2" applyFont="1" applyFill="1" applyBorder="1" applyAlignment="1" applyProtection="1">
      <alignment horizontal="center" vertical="center"/>
    </xf>
    <xf numFmtId="166" fontId="53" fillId="33" borderId="135" xfId="2" applyFont="1" applyFill="1" applyBorder="1" applyAlignment="1" applyProtection="1">
      <alignment horizontal="center" vertical="center"/>
    </xf>
    <xf numFmtId="166" fontId="53" fillId="33" borderId="119" xfId="2" applyFont="1" applyFill="1" applyBorder="1" applyAlignment="1" applyProtection="1">
      <alignment horizontal="center" vertical="center"/>
    </xf>
    <xf numFmtId="166" fontId="53" fillId="33" borderId="121" xfId="2" applyFont="1" applyFill="1" applyBorder="1" applyAlignment="1" applyProtection="1">
      <alignment horizontal="center" vertical="center"/>
    </xf>
    <xf numFmtId="166" fontId="53" fillId="33" borderId="126" xfId="2" applyFont="1" applyFill="1" applyBorder="1" applyAlignment="1" applyProtection="1">
      <alignment horizontal="center" vertical="center"/>
    </xf>
    <xf numFmtId="166" fontId="53" fillId="33" borderId="120" xfId="2" applyFont="1" applyFill="1" applyBorder="1" applyAlignment="1" applyProtection="1">
      <alignment horizontal="center" vertical="center"/>
    </xf>
    <xf numFmtId="166" fontId="67" fillId="13" borderId="71" xfId="2" applyFont="1" applyFill="1" applyBorder="1" applyAlignment="1" applyProtection="1">
      <alignment horizontal="center" vertical="center"/>
    </xf>
    <xf numFmtId="166" fontId="67" fillId="13" borderId="72" xfId="2" applyFont="1" applyFill="1" applyBorder="1" applyAlignment="1" applyProtection="1">
      <alignment horizontal="center" vertical="center"/>
    </xf>
    <xf numFmtId="166" fontId="67" fillId="13" borderId="1" xfId="2" applyFont="1" applyFill="1" applyBorder="1" applyAlignment="1" applyProtection="1">
      <alignment horizontal="center" vertical="center"/>
    </xf>
    <xf numFmtId="166" fontId="49" fillId="35" borderId="119" xfId="2" applyFont="1" applyFill="1" applyBorder="1" applyAlignment="1" applyProtection="1">
      <alignment horizontal="center" vertical="center"/>
      <protection locked="0"/>
    </xf>
    <xf numFmtId="0" fontId="53" fillId="34" borderId="115" xfId="0" applyNumberFormat="1" applyFont="1" applyFill="1" applyBorder="1" applyAlignment="1" applyProtection="1">
      <alignment horizontal="center" vertical="center"/>
    </xf>
    <xf numFmtId="0" fontId="67" fillId="13" borderId="1" xfId="0" applyFont="1" applyFill="1" applyBorder="1" applyAlignment="1" applyProtection="1">
      <alignment horizontal="center" vertical="center"/>
    </xf>
    <xf numFmtId="17" fontId="49" fillId="13" borderId="78" xfId="0" applyNumberFormat="1" applyFont="1" applyFill="1" applyBorder="1" applyAlignment="1" applyProtection="1">
      <alignment horizontal="center" vertical="center"/>
    </xf>
    <xf numFmtId="17" fontId="49" fillId="13" borderId="79" xfId="0" applyNumberFormat="1" applyFont="1" applyFill="1" applyBorder="1" applyAlignment="1" applyProtection="1">
      <alignment horizontal="center" vertical="center"/>
    </xf>
    <xf numFmtId="0" fontId="38" fillId="34" borderId="116" xfId="0" applyFont="1" applyFill="1" applyBorder="1" applyAlignment="1" applyProtection="1">
      <alignment horizontal="center" vertical="center" textRotation="255" wrapText="1"/>
    </xf>
    <xf numFmtId="0" fontId="38" fillId="34" borderId="117" xfId="0" applyFont="1" applyFill="1" applyBorder="1" applyAlignment="1" applyProtection="1">
      <alignment horizontal="center" vertical="center" textRotation="255" wrapText="1"/>
    </xf>
    <xf numFmtId="0" fontId="38" fillId="34" borderId="118" xfId="0" applyFont="1" applyFill="1" applyBorder="1" applyAlignment="1" applyProtection="1">
      <alignment horizontal="center" vertical="center" textRotation="255" wrapText="1"/>
    </xf>
    <xf numFmtId="166" fontId="53" fillId="34" borderId="135" xfId="2" applyFont="1" applyFill="1" applyBorder="1" applyAlignment="1" applyProtection="1">
      <alignment horizontal="left" vertical="center"/>
    </xf>
    <xf numFmtId="166" fontId="53" fillId="34" borderId="121" xfId="2" applyFont="1" applyFill="1" applyBorder="1" applyAlignment="1" applyProtection="1">
      <alignment horizontal="left" vertical="center"/>
    </xf>
    <xf numFmtId="0" fontId="67" fillId="13" borderId="71" xfId="0" applyFont="1" applyFill="1" applyBorder="1" applyAlignment="1" applyProtection="1">
      <alignment horizontal="center" vertical="center"/>
    </xf>
    <xf numFmtId="0" fontId="67" fillId="13" borderId="72" xfId="0" applyFont="1" applyFill="1" applyBorder="1" applyAlignment="1" applyProtection="1">
      <alignment horizontal="center" vertical="center"/>
    </xf>
    <xf numFmtId="166" fontId="53" fillId="34" borderId="115" xfId="2" applyFont="1" applyFill="1" applyBorder="1" applyAlignment="1" applyProtection="1">
      <alignment horizontal="center" vertical="center"/>
    </xf>
    <xf numFmtId="0" fontId="53" fillId="34" borderId="1" xfId="0" applyFont="1" applyFill="1" applyBorder="1" applyAlignment="1" applyProtection="1">
      <alignment horizontal="center" vertical="center"/>
    </xf>
    <xf numFmtId="0" fontId="53" fillId="34" borderId="71" xfId="0" applyFont="1" applyFill="1" applyBorder="1" applyAlignment="1" applyProtection="1">
      <alignment horizontal="center" vertical="center"/>
    </xf>
    <xf numFmtId="0" fontId="81" fillId="26" borderId="4" xfId="0" applyFont="1" applyFill="1" applyBorder="1" applyAlignment="1" applyProtection="1">
      <alignment horizontal="center" vertical="center"/>
    </xf>
    <xf numFmtId="0" fontId="81" fillId="26" borderId="33" xfId="0" applyFont="1" applyFill="1" applyBorder="1" applyAlignment="1" applyProtection="1">
      <alignment horizontal="center" vertical="center"/>
    </xf>
    <xf numFmtId="17" fontId="49" fillId="0" borderId="0" xfId="0" applyNumberFormat="1" applyFont="1" applyFill="1" applyBorder="1" applyAlignment="1" applyProtection="1">
      <alignment horizontal="center" vertical="center"/>
    </xf>
    <xf numFmtId="17" fontId="49" fillId="25" borderId="122" xfId="0" applyNumberFormat="1" applyFont="1" applyFill="1" applyBorder="1" applyAlignment="1" applyProtection="1">
      <alignment horizontal="center" vertical="center"/>
    </xf>
    <xf numFmtId="17" fontId="49" fillId="25" borderId="125" xfId="0" applyNumberFormat="1" applyFont="1" applyFill="1" applyBorder="1" applyAlignment="1" applyProtection="1">
      <alignment horizontal="center" vertical="center"/>
    </xf>
    <xf numFmtId="0" fontId="53" fillId="20" borderId="0" xfId="0" applyFont="1" applyFill="1" applyBorder="1" applyAlignment="1" applyProtection="1">
      <alignment horizontal="center" vertical="center"/>
    </xf>
    <xf numFmtId="17" fontId="53" fillId="34" borderId="115" xfId="0" applyNumberFormat="1" applyFont="1" applyFill="1" applyBorder="1" applyAlignment="1" applyProtection="1">
      <alignment horizontal="center" vertical="center"/>
    </xf>
    <xf numFmtId="0" fontId="49" fillId="2" borderId="0" xfId="0" applyFont="1" applyFill="1" applyBorder="1" applyAlignment="1" applyProtection="1">
      <alignment horizontal="center" vertical="center" wrapText="1"/>
    </xf>
    <xf numFmtId="0" fontId="67" fillId="13" borderId="81" xfId="0" applyFont="1" applyFill="1" applyBorder="1" applyAlignment="1" applyProtection="1">
      <alignment horizontal="center" vertical="center"/>
    </xf>
    <xf numFmtId="0" fontId="49" fillId="2" borderId="21" xfId="0" applyFont="1" applyFill="1" applyBorder="1" applyAlignment="1" applyProtection="1">
      <alignment horizontal="center" vertical="center" wrapText="1"/>
    </xf>
    <xf numFmtId="0" fontId="67" fillId="2" borderId="87" xfId="0" applyFont="1" applyFill="1" applyBorder="1" applyAlignment="1" applyProtection="1">
      <alignment horizontal="center" vertical="center" wrapText="1"/>
    </xf>
    <xf numFmtId="0" fontId="45" fillId="0" borderId="0" xfId="0" applyFont="1" applyFill="1" applyBorder="1" applyAlignment="1" applyProtection="1">
      <alignment horizontal="center" vertical="center" wrapText="1"/>
    </xf>
    <xf numFmtId="0" fontId="67" fillId="2" borderId="0" xfId="0" applyFont="1" applyFill="1" applyBorder="1" applyAlignment="1" applyProtection="1">
      <alignment horizontal="center" vertical="center" wrapText="1"/>
    </xf>
    <xf numFmtId="0" fontId="91" fillId="13" borderId="1" xfId="0" applyFont="1" applyFill="1" applyBorder="1" applyAlignment="1" applyProtection="1">
      <alignment horizontal="center" vertical="center"/>
    </xf>
    <xf numFmtId="0" fontId="53" fillId="34" borderId="74" xfId="0" applyFont="1" applyFill="1" applyBorder="1" applyAlignment="1" applyProtection="1">
      <alignment horizontal="center" vertical="center" textRotation="255" wrapText="1"/>
    </xf>
    <xf numFmtId="0" fontId="53" fillId="34" borderId="7" xfId="0" applyFont="1" applyFill="1" applyBorder="1" applyAlignment="1" applyProtection="1">
      <alignment horizontal="center" vertical="center" textRotation="255" wrapText="1"/>
    </xf>
    <xf numFmtId="0" fontId="96" fillId="22" borderId="0" xfId="0" applyFont="1" applyFill="1" applyBorder="1" applyAlignment="1" applyProtection="1">
      <alignment horizontal="center" vertical="center" wrapText="1"/>
    </xf>
    <xf numFmtId="166" fontId="49" fillId="24" borderId="78" xfId="2" applyFont="1" applyFill="1" applyBorder="1" applyAlignment="1" applyProtection="1">
      <alignment horizontal="center" vertical="center"/>
    </xf>
    <xf numFmtId="166" fontId="49" fillId="24" borderId="80" xfId="2" applyFont="1" applyFill="1" applyBorder="1" applyAlignment="1" applyProtection="1">
      <alignment horizontal="center" vertical="center"/>
    </xf>
    <xf numFmtId="166" fontId="49" fillId="24" borderId="79" xfId="2" applyFont="1" applyFill="1" applyBorder="1" applyAlignment="1" applyProtection="1">
      <alignment horizontal="center" vertical="center"/>
    </xf>
    <xf numFmtId="0" fontId="70" fillId="28" borderId="24" xfId="0" applyFont="1" applyFill="1" applyBorder="1" applyAlignment="1" applyProtection="1">
      <alignment horizontal="center" vertical="center" wrapText="1"/>
    </xf>
    <xf numFmtId="0" fontId="70" fillId="28" borderId="0" xfId="0" applyFont="1" applyFill="1" applyBorder="1" applyAlignment="1" applyProtection="1">
      <alignment horizontal="center" vertical="center" wrapText="1"/>
    </xf>
    <xf numFmtId="166" fontId="49" fillId="35" borderId="115" xfId="2" applyFont="1" applyFill="1" applyBorder="1" applyAlignment="1" applyProtection="1">
      <alignment horizontal="center" vertical="center"/>
      <protection locked="0"/>
    </xf>
    <xf numFmtId="0" fontId="44" fillId="30" borderId="122" xfId="0" applyFont="1" applyFill="1" applyBorder="1" applyAlignment="1" applyProtection="1">
      <alignment horizontal="center" vertical="center" wrapText="1"/>
    </xf>
    <xf numFmtId="0" fontId="44" fillId="30" borderId="114" xfId="0" applyFont="1" applyFill="1" applyBorder="1" applyAlignment="1" applyProtection="1">
      <alignment horizontal="center" vertical="center" wrapText="1"/>
    </xf>
    <xf numFmtId="0" fontId="79" fillId="28" borderId="82" xfId="0" applyFont="1" applyFill="1" applyBorder="1" applyAlignment="1" applyProtection="1">
      <alignment horizontal="center" vertical="center" wrapText="1"/>
    </xf>
    <xf numFmtId="0" fontId="79" fillId="28" borderId="0" xfId="0" applyFont="1" applyFill="1" applyBorder="1" applyAlignment="1" applyProtection="1">
      <alignment horizontal="center" vertical="center" wrapText="1"/>
    </xf>
    <xf numFmtId="0" fontId="98" fillId="0" borderId="0" xfId="0" applyFont="1" applyFill="1" applyBorder="1" applyAlignment="1" applyProtection="1">
      <alignment horizontal="center" vertical="center" wrapText="1"/>
    </xf>
    <xf numFmtId="0" fontId="70" fillId="0" borderId="24" xfId="0" applyFont="1" applyFill="1" applyBorder="1" applyAlignment="1" applyProtection="1">
      <alignment horizontal="center" vertical="center" wrapText="1"/>
    </xf>
    <xf numFmtId="0" fontId="70" fillId="0" borderId="0" xfId="0" applyFont="1" applyFill="1" applyBorder="1" applyAlignment="1" applyProtection="1">
      <alignment horizontal="center" vertical="center" wrapText="1"/>
    </xf>
    <xf numFmtId="17" fontId="67" fillId="13" borderId="78" xfId="0" applyNumberFormat="1" applyFont="1" applyFill="1" applyBorder="1" applyAlignment="1" applyProtection="1">
      <alignment horizontal="center" vertical="center"/>
    </xf>
    <xf numFmtId="17" fontId="67" fillId="13" borderId="79" xfId="0" applyNumberFormat="1" applyFont="1" applyFill="1" applyBorder="1" applyAlignment="1" applyProtection="1">
      <alignment horizontal="center" vertical="center"/>
    </xf>
    <xf numFmtId="17" fontId="49" fillId="35" borderId="115" xfId="0" applyNumberFormat="1" applyFont="1" applyFill="1" applyBorder="1" applyAlignment="1" applyProtection="1">
      <alignment horizontal="center" vertical="center"/>
      <protection locked="0"/>
    </xf>
    <xf numFmtId="0" fontId="53" fillId="34" borderId="115" xfId="0" applyFont="1" applyFill="1" applyBorder="1" applyAlignment="1" applyProtection="1">
      <alignment horizontal="center" vertical="center"/>
    </xf>
    <xf numFmtId="166" fontId="49" fillId="13" borderId="71" xfId="2" applyFont="1" applyFill="1" applyBorder="1" applyAlignment="1" applyProtection="1">
      <alignment horizontal="center" vertical="center"/>
    </xf>
    <xf numFmtId="166" fontId="49" fillId="13" borderId="81" xfId="2" applyFont="1" applyFill="1" applyBorder="1" applyAlignment="1" applyProtection="1">
      <alignment horizontal="center" vertical="center"/>
    </xf>
    <xf numFmtId="166" fontId="49" fillId="13" borderId="72" xfId="2" applyFont="1" applyFill="1" applyBorder="1" applyAlignment="1" applyProtection="1">
      <alignment horizontal="center" vertical="center"/>
    </xf>
    <xf numFmtId="17" fontId="67" fillId="13" borderId="1" xfId="0" applyNumberFormat="1" applyFont="1" applyFill="1" applyBorder="1" applyAlignment="1" applyProtection="1">
      <alignment horizontal="center" vertical="center"/>
    </xf>
    <xf numFmtId="0" fontId="67" fillId="2" borderId="0" xfId="0" applyFont="1" applyFill="1" applyBorder="1" applyAlignment="1" applyProtection="1">
      <alignment horizontal="center" vertical="center"/>
    </xf>
    <xf numFmtId="0" fontId="98" fillId="6" borderId="0" xfId="0" applyFont="1" applyFill="1" applyBorder="1" applyAlignment="1" applyProtection="1">
      <alignment horizontal="center" vertical="center" wrapText="1"/>
    </xf>
    <xf numFmtId="176" fontId="73" fillId="2" borderId="4" xfId="2" applyNumberFormat="1" applyFont="1" applyFill="1" applyBorder="1" applyAlignment="1" applyProtection="1">
      <alignment horizontal="center" vertical="center"/>
    </xf>
    <xf numFmtId="176" fontId="73" fillId="2" borderId="33" xfId="2" applyNumberFormat="1" applyFont="1" applyFill="1" applyBorder="1" applyAlignment="1" applyProtection="1">
      <alignment horizontal="center" vertical="center"/>
    </xf>
    <xf numFmtId="176" fontId="73" fillId="2" borderId="24" xfId="2" applyNumberFormat="1" applyFont="1" applyFill="1" applyBorder="1" applyAlignment="1" applyProtection="1">
      <alignment horizontal="center" vertical="center"/>
    </xf>
    <xf numFmtId="176" fontId="73" fillId="2" borderId="23" xfId="2" applyNumberFormat="1" applyFont="1" applyFill="1" applyBorder="1" applyAlignment="1" applyProtection="1">
      <alignment horizontal="center" vertical="center"/>
    </xf>
    <xf numFmtId="17" fontId="49" fillId="13" borderId="71" xfId="0" applyNumberFormat="1" applyFont="1" applyFill="1" applyBorder="1" applyAlignment="1" applyProtection="1">
      <alignment horizontal="center" vertical="center"/>
    </xf>
    <xf numFmtId="17" fontId="49" fillId="13" borderId="72" xfId="0" applyNumberFormat="1" applyFont="1" applyFill="1" applyBorder="1" applyAlignment="1" applyProtection="1">
      <alignment horizontal="center" vertical="center"/>
    </xf>
    <xf numFmtId="0" fontId="67" fillId="13" borderId="72" xfId="0" applyNumberFormat="1" applyFont="1" applyFill="1" applyBorder="1" applyAlignment="1" applyProtection="1">
      <alignment horizontal="center" vertical="center"/>
    </xf>
    <xf numFmtId="0" fontId="67" fillId="13" borderId="1" xfId="0" applyNumberFormat="1" applyFont="1" applyFill="1" applyBorder="1" applyAlignment="1" applyProtection="1">
      <alignment horizontal="center" vertical="center"/>
    </xf>
    <xf numFmtId="0" fontId="78" fillId="26" borderId="71" xfId="0" applyFont="1" applyFill="1" applyBorder="1" applyAlignment="1" applyProtection="1">
      <alignment horizontal="center" vertical="center"/>
    </xf>
    <xf numFmtId="0" fontId="78" fillId="26" borderId="72" xfId="0" applyFont="1" applyFill="1" applyBorder="1" applyAlignment="1" applyProtection="1">
      <alignment horizontal="center" vertical="center"/>
    </xf>
    <xf numFmtId="177" fontId="53" fillId="34" borderId="1" xfId="2" applyNumberFormat="1" applyFont="1" applyFill="1" applyBorder="1" applyAlignment="1" applyProtection="1">
      <alignment horizontal="center" vertical="center"/>
    </xf>
    <xf numFmtId="0" fontId="87" fillId="22" borderId="0" xfId="0" applyFont="1" applyFill="1" applyBorder="1" applyAlignment="1" applyProtection="1">
      <alignment horizontal="center" vertical="center"/>
    </xf>
    <xf numFmtId="0" fontId="97" fillId="0" borderId="0" xfId="0" applyFont="1" applyFill="1" applyBorder="1" applyAlignment="1" applyProtection="1">
      <alignment horizontal="left" vertical="center"/>
    </xf>
    <xf numFmtId="0" fontId="97" fillId="0" borderId="128" xfId="0" applyFont="1" applyFill="1" applyBorder="1" applyAlignment="1" applyProtection="1">
      <alignment horizontal="left" vertical="center"/>
    </xf>
    <xf numFmtId="0" fontId="67" fillId="27" borderId="71" xfId="2" applyNumberFormat="1" applyFont="1" applyFill="1" applyBorder="1" applyAlignment="1" applyProtection="1">
      <alignment horizontal="center" vertical="center"/>
    </xf>
    <xf numFmtId="0" fontId="67" fillId="27" borderId="81" xfId="2" applyNumberFormat="1" applyFont="1" applyFill="1" applyBorder="1" applyAlignment="1" applyProtection="1">
      <alignment horizontal="center" vertical="center"/>
    </xf>
    <xf numFmtId="0" fontId="67" fillId="13" borderId="78" xfId="0" applyNumberFormat="1" applyFont="1" applyFill="1" applyBorder="1" applyAlignment="1" applyProtection="1">
      <alignment horizontal="center" vertical="center"/>
    </xf>
    <xf numFmtId="0" fontId="67" fillId="13" borderId="79" xfId="0" applyNumberFormat="1" applyFont="1" applyFill="1" applyBorder="1" applyAlignment="1" applyProtection="1">
      <alignment horizontal="center" vertical="center"/>
    </xf>
    <xf numFmtId="0" fontId="53" fillId="34" borderId="90" xfId="0" applyFont="1" applyFill="1" applyBorder="1" applyAlignment="1" applyProtection="1">
      <alignment horizontal="center" vertical="center" wrapText="1"/>
    </xf>
    <xf numFmtId="0" fontId="53" fillId="34" borderId="86" xfId="0" applyFont="1" applyFill="1" applyBorder="1" applyAlignment="1" applyProtection="1">
      <alignment horizontal="center" vertical="center" wrapText="1"/>
    </xf>
    <xf numFmtId="0" fontId="53" fillId="34" borderId="82" xfId="0" applyFont="1" applyFill="1" applyBorder="1" applyAlignment="1" applyProtection="1">
      <alignment horizontal="center" vertical="center" wrapText="1"/>
    </xf>
    <xf numFmtId="0" fontId="53" fillId="34" borderId="45" xfId="0" applyFont="1" applyFill="1" applyBorder="1" applyAlignment="1" applyProtection="1">
      <alignment horizontal="center" vertical="center" wrapText="1"/>
    </xf>
    <xf numFmtId="0" fontId="53" fillId="34" borderId="66" xfId="0" applyFont="1" applyFill="1" applyBorder="1" applyAlignment="1" applyProtection="1">
      <alignment horizontal="center" vertical="center" wrapText="1"/>
    </xf>
    <xf numFmtId="0" fontId="53" fillId="34" borderId="68" xfId="0" applyFont="1" applyFill="1" applyBorder="1" applyAlignment="1" applyProtection="1">
      <alignment horizontal="center" vertical="center" wrapText="1"/>
    </xf>
    <xf numFmtId="0" fontId="69" fillId="27" borderId="71" xfId="0" applyNumberFormat="1" applyFont="1" applyFill="1" applyBorder="1" applyAlignment="1" applyProtection="1">
      <alignment horizontal="center" vertical="center"/>
    </xf>
    <xf numFmtId="0" fontId="69" fillId="27" borderId="72" xfId="0" applyNumberFormat="1" applyFont="1" applyFill="1" applyBorder="1" applyAlignment="1" applyProtection="1">
      <alignment horizontal="center" vertical="center"/>
    </xf>
    <xf numFmtId="0" fontId="49" fillId="13" borderId="71" xfId="0" applyNumberFormat="1" applyFont="1" applyFill="1" applyBorder="1" applyAlignment="1" applyProtection="1">
      <alignment horizontal="center" vertical="center"/>
    </xf>
    <xf numFmtId="0" fontId="49" fillId="13" borderId="72" xfId="0" applyNumberFormat="1" applyFont="1" applyFill="1" applyBorder="1" applyAlignment="1" applyProtection="1">
      <alignment horizontal="center" vertical="center"/>
    </xf>
    <xf numFmtId="166" fontId="78" fillId="27" borderId="71" xfId="2" applyFont="1" applyFill="1" applyBorder="1" applyAlignment="1" applyProtection="1">
      <alignment horizontal="center" vertical="center"/>
    </xf>
    <xf numFmtId="166" fontId="78" fillId="27" borderId="72" xfId="2" applyFont="1" applyFill="1" applyBorder="1" applyAlignment="1" applyProtection="1">
      <alignment horizontal="center" vertical="center"/>
    </xf>
    <xf numFmtId="176" fontId="73" fillId="2" borderId="6" xfId="2" applyNumberFormat="1" applyFont="1" applyFill="1" applyBorder="1" applyAlignment="1" applyProtection="1">
      <alignment horizontal="center" vertical="center"/>
    </xf>
    <xf numFmtId="0" fontId="36" fillId="0" borderId="0" xfId="0" applyFont="1" applyFill="1" applyBorder="1" applyAlignment="1" applyProtection="1">
      <alignment horizontal="center" vertical="center" wrapText="1"/>
    </xf>
    <xf numFmtId="0" fontId="51" fillId="0" borderId="0" xfId="0" applyFont="1" applyFill="1" applyBorder="1" applyAlignment="1" applyProtection="1">
      <alignment vertical="center" wrapText="1"/>
    </xf>
    <xf numFmtId="0" fontId="53" fillId="34" borderId="83" xfId="0" applyFont="1" applyFill="1" applyBorder="1" applyAlignment="1" applyProtection="1">
      <alignment horizontal="center" vertical="center"/>
    </xf>
    <xf numFmtId="0" fontId="53" fillId="34" borderId="90" xfId="0" applyFont="1" applyFill="1" applyBorder="1" applyAlignment="1" applyProtection="1">
      <alignment horizontal="center" vertical="center"/>
    </xf>
    <xf numFmtId="178" fontId="74" fillId="2" borderId="0" xfId="0" applyNumberFormat="1" applyFont="1" applyFill="1" applyBorder="1" applyAlignment="1" applyProtection="1">
      <alignment horizontal="center" vertical="center"/>
    </xf>
    <xf numFmtId="10" fontId="100" fillId="30" borderId="135" xfId="4" applyNumberFormat="1" applyFont="1" applyFill="1" applyBorder="1" applyAlignment="1" applyProtection="1">
      <alignment horizontal="center" vertical="center"/>
    </xf>
    <xf numFmtId="10" fontId="100" fillId="30" borderId="121" xfId="4" applyNumberFormat="1" applyFont="1" applyFill="1" applyBorder="1" applyAlignment="1" applyProtection="1">
      <alignment horizontal="center" vertical="center"/>
    </xf>
    <xf numFmtId="167" fontId="49" fillId="2" borderId="0" xfId="10" applyFont="1" applyFill="1" applyBorder="1" applyAlignment="1" applyProtection="1">
      <alignment horizontal="center" vertical="center" wrapText="1"/>
    </xf>
    <xf numFmtId="166" fontId="53" fillId="34" borderId="3" xfId="2" applyNumberFormat="1" applyFont="1" applyFill="1" applyBorder="1" applyAlignment="1" applyProtection="1">
      <alignment horizontal="center" vertical="center"/>
    </xf>
    <xf numFmtId="166" fontId="69" fillId="27" borderId="71" xfId="2" applyFont="1" applyFill="1" applyBorder="1" applyAlignment="1" applyProtection="1">
      <alignment horizontal="center" vertical="center"/>
    </xf>
    <xf numFmtId="166" fontId="69" fillId="27" borderId="72" xfId="2" applyFont="1" applyFill="1" applyBorder="1" applyAlignment="1" applyProtection="1">
      <alignment horizontal="center" vertical="center"/>
    </xf>
    <xf numFmtId="166" fontId="44" fillId="10" borderId="6" xfId="2" applyFont="1" applyFill="1" applyBorder="1" applyAlignment="1" applyProtection="1">
      <alignment horizontal="center" vertical="center"/>
    </xf>
    <xf numFmtId="166" fontId="67" fillId="24" borderId="78" xfId="2" applyFont="1" applyFill="1" applyBorder="1" applyAlignment="1" applyProtection="1">
      <alignment horizontal="center" vertical="center"/>
    </xf>
    <xf numFmtId="166" fontId="67" fillId="24" borderId="80" xfId="2" applyFont="1" applyFill="1" applyBorder="1" applyAlignment="1" applyProtection="1">
      <alignment horizontal="center" vertical="center"/>
    </xf>
    <xf numFmtId="166" fontId="67" fillId="24" borderId="79" xfId="2" applyFont="1" applyFill="1" applyBorder="1" applyAlignment="1" applyProtection="1">
      <alignment horizontal="center" vertical="center"/>
    </xf>
    <xf numFmtId="0" fontId="36" fillId="13" borderId="1" xfId="0" applyFont="1" applyFill="1" applyBorder="1" applyAlignment="1" applyProtection="1">
      <alignment horizontal="center" vertical="center" wrapText="1"/>
    </xf>
    <xf numFmtId="17" fontId="36" fillId="13" borderId="85" xfId="2" applyNumberFormat="1" applyFont="1" applyFill="1" applyBorder="1" applyAlignment="1" applyProtection="1">
      <alignment horizontal="center" vertical="center"/>
    </xf>
    <xf numFmtId="17" fontId="36" fillId="13" borderId="86" xfId="2" applyNumberFormat="1" applyFont="1" applyFill="1" applyBorder="1" applyAlignment="1" applyProtection="1">
      <alignment horizontal="center" vertical="center"/>
    </xf>
    <xf numFmtId="17" fontId="36" fillId="13" borderId="87" xfId="2" applyNumberFormat="1" applyFont="1" applyFill="1" applyBorder="1" applyAlignment="1" applyProtection="1">
      <alignment horizontal="center" vertical="center"/>
    </xf>
    <xf numFmtId="17" fontId="36" fillId="13" borderId="68" xfId="2" applyNumberFormat="1" applyFont="1" applyFill="1" applyBorder="1" applyAlignment="1" applyProtection="1">
      <alignment horizontal="center" vertical="center"/>
    </xf>
    <xf numFmtId="177" fontId="32" fillId="13" borderId="1" xfId="2" applyNumberFormat="1" applyFont="1" applyFill="1" applyBorder="1" applyAlignment="1" applyProtection="1">
      <alignment horizontal="center" vertical="center"/>
    </xf>
    <xf numFmtId="0" fontId="36" fillId="13" borderId="71" xfId="0" applyFont="1" applyFill="1" applyBorder="1" applyAlignment="1" applyProtection="1">
      <alignment horizontal="center" vertical="center" wrapText="1"/>
    </xf>
    <xf numFmtId="0" fontId="36" fillId="13" borderId="81" xfId="0" applyFont="1" applyFill="1" applyBorder="1" applyAlignment="1" applyProtection="1">
      <alignment horizontal="center" vertical="center" wrapText="1"/>
    </xf>
    <xf numFmtId="0" fontId="36" fillId="13" borderId="72" xfId="0" applyFont="1" applyFill="1" applyBorder="1" applyAlignment="1" applyProtection="1">
      <alignment horizontal="center" vertical="center" wrapText="1"/>
    </xf>
    <xf numFmtId="178" fontId="53" fillId="34" borderId="90" xfId="0" applyNumberFormat="1" applyFont="1" applyFill="1" applyBorder="1" applyAlignment="1" applyProtection="1">
      <alignment horizontal="center" vertical="center"/>
    </xf>
    <xf numFmtId="178" fontId="53" fillId="34" borderId="85" xfId="0" applyNumberFormat="1" applyFont="1" applyFill="1" applyBorder="1" applyAlignment="1" applyProtection="1">
      <alignment horizontal="center" vertical="center"/>
    </xf>
    <xf numFmtId="178" fontId="53" fillId="34" borderId="86" xfId="0" applyNumberFormat="1" applyFont="1" applyFill="1" applyBorder="1" applyAlignment="1" applyProtection="1">
      <alignment horizontal="center" vertical="center"/>
    </xf>
    <xf numFmtId="178" fontId="53" fillId="34" borderId="82" xfId="0" applyNumberFormat="1" applyFont="1" applyFill="1" applyBorder="1" applyAlignment="1" applyProtection="1">
      <alignment horizontal="center" vertical="center"/>
    </xf>
    <xf numFmtId="178" fontId="53" fillId="34" borderId="0" xfId="0" applyNumberFormat="1" applyFont="1" applyFill="1" applyBorder="1" applyAlignment="1" applyProtection="1">
      <alignment horizontal="center" vertical="center"/>
    </xf>
    <xf numFmtId="178" fontId="53" fillId="34" borderId="45" xfId="0" applyNumberFormat="1" applyFont="1" applyFill="1" applyBorder="1" applyAlignment="1" applyProtection="1">
      <alignment horizontal="center" vertical="center"/>
    </xf>
    <xf numFmtId="178" fontId="53" fillId="34" borderId="66" xfId="0" applyNumberFormat="1" applyFont="1" applyFill="1" applyBorder="1" applyAlignment="1" applyProtection="1">
      <alignment horizontal="center" vertical="center"/>
    </xf>
    <xf numFmtId="178" fontId="53" fillId="34" borderId="87" xfId="0" applyNumberFormat="1" applyFont="1" applyFill="1" applyBorder="1" applyAlignment="1" applyProtection="1">
      <alignment horizontal="center" vertical="center"/>
    </xf>
    <xf numFmtId="178" fontId="53" fillId="34" borderId="68" xfId="0" applyNumberFormat="1" applyFont="1" applyFill="1" applyBorder="1" applyAlignment="1" applyProtection="1">
      <alignment horizontal="center" vertical="center"/>
    </xf>
    <xf numFmtId="7" fontId="74" fillId="13" borderId="71" xfId="0" applyNumberFormat="1" applyFont="1" applyFill="1" applyBorder="1" applyAlignment="1" applyProtection="1">
      <alignment horizontal="center" vertical="center"/>
    </xf>
    <xf numFmtId="7" fontId="74" fillId="13" borderId="72" xfId="0" applyNumberFormat="1" applyFont="1" applyFill="1" applyBorder="1" applyAlignment="1" applyProtection="1">
      <alignment horizontal="center" vertical="center"/>
    </xf>
    <xf numFmtId="0" fontId="36" fillId="13" borderId="83" xfId="2" applyNumberFormat="1" applyFont="1" applyFill="1" applyBorder="1" applyAlignment="1" applyProtection="1">
      <alignment horizontal="center" vertical="center"/>
    </xf>
    <xf numFmtId="0" fontId="36" fillId="13" borderId="84" xfId="2" applyNumberFormat="1" applyFont="1" applyFill="1" applyBorder="1" applyAlignment="1" applyProtection="1">
      <alignment horizontal="center" vertical="center"/>
    </xf>
    <xf numFmtId="0" fontId="34" fillId="2" borderId="0" xfId="0" applyFont="1" applyFill="1" applyBorder="1" applyAlignment="1" applyProtection="1">
      <alignment horizontal="center" vertical="center" wrapText="1"/>
    </xf>
    <xf numFmtId="177" fontId="36" fillId="13" borderId="71" xfId="2" applyNumberFormat="1" applyFont="1" applyFill="1" applyBorder="1" applyAlignment="1" applyProtection="1">
      <alignment horizontal="center" vertical="center"/>
    </xf>
    <xf numFmtId="177" fontId="36" fillId="13" borderId="81" xfId="2" applyNumberFormat="1" applyFont="1" applyFill="1" applyBorder="1" applyAlignment="1" applyProtection="1">
      <alignment horizontal="center" vertical="center"/>
    </xf>
    <xf numFmtId="177" fontId="36" fillId="13" borderId="72" xfId="2" applyNumberFormat="1" applyFont="1" applyFill="1" applyBorder="1" applyAlignment="1" applyProtection="1">
      <alignment horizontal="center" vertical="center"/>
    </xf>
    <xf numFmtId="0" fontId="48" fillId="2" borderId="27" xfId="0" applyFont="1" applyFill="1" applyBorder="1" applyAlignment="1" applyProtection="1">
      <alignment horizontal="center" vertical="center" wrapText="1"/>
    </xf>
    <xf numFmtId="0" fontId="48" fillId="2" borderId="22" xfId="0" applyFont="1" applyFill="1" applyBorder="1" applyAlignment="1" applyProtection="1">
      <alignment horizontal="center" vertical="center" wrapText="1"/>
    </xf>
    <xf numFmtId="0" fontId="48" fillId="2" borderId="18" xfId="0" applyFont="1" applyFill="1" applyBorder="1" applyAlignment="1" applyProtection="1">
      <alignment horizontal="center" vertical="center" wrapText="1"/>
    </xf>
    <xf numFmtId="0" fontId="48" fillId="2" borderId="26" xfId="0" applyFont="1" applyFill="1" applyBorder="1" applyAlignment="1" applyProtection="1">
      <alignment horizontal="center" vertical="center" wrapText="1"/>
    </xf>
    <xf numFmtId="7" fontId="74" fillId="2" borderId="0" xfId="0" applyNumberFormat="1" applyFont="1" applyFill="1" applyBorder="1" applyAlignment="1" applyProtection="1">
      <alignment horizontal="center" vertical="center"/>
    </xf>
    <xf numFmtId="177" fontId="53" fillId="34" borderId="90" xfId="2" applyNumberFormat="1" applyFont="1" applyFill="1" applyBorder="1" applyAlignment="1" applyProtection="1">
      <alignment horizontal="center" vertical="center"/>
    </xf>
    <xf numFmtId="177" fontId="53" fillId="34" borderId="86" xfId="2" applyNumberFormat="1" applyFont="1" applyFill="1" applyBorder="1" applyAlignment="1" applyProtection="1">
      <alignment horizontal="center" vertical="center"/>
    </xf>
    <xf numFmtId="177" fontId="53" fillId="34" borderId="82" xfId="2" applyNumberFormat="1" applyFont="1" applyFill="1" applyBorder="1" applyAlignment="1" applyProtection="1">
      <alignment horizontal="center" vertical="center"/>
    </xf>
    <xf numFmtId="177" fontId="53" fillId="34" borderId="45" xfId="2" applyNumberFormat="1" applyFont="1" applyFill="1" applyBorder="1" applyAlignment="1" applyProtection="1">
      <alignment horizontal="center" vertical="center"/>
    </xf>
    <xf numFmtId="177" fontId="53" fillId="34" borderId="66" xfId="2" applyNumberFormat="1" applyFont="1" applyFill="1" applyBorder="1" applyAlignment="1" applyProtection="1">
      <alignment horizontal="center" vertical="center"/>
    </xf>
    <xf numFmtId="177" fontId="53" fillId="34" borderId="68" xfId="2" applyNumberFormat="1" applyFont="1" applyFill="1" applyBorder="1" applyAlignment="1" applyProtection="1">
      <alignment horizontal="center" vertical="center"/>
    </xf>
    <xf numFmtId="0" fontId="53" fillId="34" borderId="1" xfId="0" applyFont="1" applyFill="1" applyBorder="1" applyAlignment="1" applyProtection="1">
      <alignment horizontal="center" vertical="center" wrapText="1"/>
    </xf>
    <xf numFmtId="0" fontId="48" fillId="2" borderId="3" xfId="0" applyFont="1" applyFill="1" applyBorder="1" applyAlignment="1" applyProtection="1">
      <alignment horizontal="center" vertical="center" wrapText="1"/>
    </xf>
    <xf numFmtId="0" fontId="54" fillId="2" borderId="0" xfId="0" applyFont="1" applyFill="1" applyAlignment="1" applyProtection="1">
      <alignment horizontal="center" vertical="center"/>
    </xf>
    <xf numFmtId="0" fontId="48" fillId="5" borderId="27" xfId="0" applyFont="1" applyFill="1" applyBorder="1" applyAlignment="1" applyProtection="1">
      <alignment horizontal="center" vertical="center"/>
    </xf>
    <xf numFmtId="0" fontId="48" fillId="5" borderId="21" xfId="0" applyFont="1" applyFill="1" applyBorder="1" applyAlignment="1" applyProtection="1">
      <alignment horizontal="center" vertical="center"/>
    </xf>
    <xf numFmtId="0" fontId="48" fillId="5" borderId="22" xfId="0" applyFont="1" applyFill="1" applyBorder="1" applyAlignment="1" applyProtection="1">
      <alignment horizontal="center" vertical="center"/>
    </xf>
    <xf numFmtId="166" fontId="44" fillId="13" borderId="91" xfId="2" applyFont="1" applyFill="1" applyBorder="1" applyAlignment="1" applyProtection="1">
      <alignment horizontal="center" vertical="center"/>
    </xf>
    <xf numFmtId="166" fontId="44" fillId="13" borderId="92" xfId="2" applyFont="1" applyFill="1" applyBorder="1" applyAlignment="1" applyProtection="1">
      <alignment horizontal="center" vertical="center"/>
    </xf>
    <xf numFmtId="166" fontId="44" fillId="13" borderId="93" xfId="2" applyFont="1" applyFill="1" applyBorder="1" applyAlignment="1" applyProtection="1">
      <alignment horizontal="center" vertical="center"/>
    </xf>
    <xf numFmtId="0" fontId="34" fillId="2" borderId="131" xfId="0" applyFont="1" applyFill="1" applyBorder="1" applyAlignment="1" applyProtection="1">
      <alignment horizontal="center" vertical="center"/>
    </xf>
    <xf numFmtId="166" fontId="44" fillId="13" borderId="88" xfId="2" applyFont="1" applyFill="1" applyBorder="1" applyAlignment="1" applyProtection="1">
      <alignment horizontal="center" vertical="center"/>
    </xf>
    <xf numFmtId="166" fontId="44" fillId="13" borderId="81" xfId="2" applyFont="1" applyFill="1" applyBorder="1" applyAlignment="1" applyProtection="1">
      <alignment horizontal="center" vertical="center"/>
    </xf>
    <xf numFmtId="166" fontId="44" fillId="13" borderId="89" xfId="2" applyFont="1" applyFill="1" applyBorder="1" applyAlignment="1" applyProtection="1">
      <alignment horizontal="center" vertical="center"/>
    </xf>
    <xf numFmtId="166" fontId="49" fillId="30" borderId="90" xfId="2" applyFont="1" applyFill="1" applyBorder="1" applyAlignment="1" applyProtection="1">
      <alignment horizontal="center" vertical="center" wrapText="1"/>
    </xf>
    <xf numFmtId="166" fontId="49" fillId="30" borderId="72" xfId="2" applyFont="1" applyFill="1" applyBorder="1" applyAlignment="1" applyProtection="1">
      <alignment horizontal="center" vertical="center" wrapText="1"/>
    </xf>
    <xf numFmtId="0" fontId="49" fillId="30" borderId="3" xfId="0" applyFont="1" applyFill="1" applyBorder="1" applyAlignment="1" applyProtection="1">
      <alignment horizontal="center" vertical="center" wrapText="1"/>
    </xf>
    <xf numFmtId="0" fontId="57" fillId="2" borderId="0" xfId="0" applyFont="1" applyFill="1" applyBorder="1" applyAlignment="1" applyProtection="1">
      <alignment horizontal="center" vertical="center"/>
    </xf>
    <xf numFmtId="0" fontId="57" fillId="2" borderId="85" xfId="0" applyFont="1" applyFill="1" applyBorder="1" applyAlignment="1" applyProtection="1">
      <alignment horizontal="center" vertical="center"/>
    </xf>
    <xf numFmtId="0" fontId="85" fillId="2" borderId="27" xfId="0" applyFont="1" applyFill="1" applyBorder="1" applyAlignment="1" applyProtection="1">
      <alignment horizontal="center" vertical="center"/>
    </xf>
    <xf numFmtId="0" fontId="85" fillId="2" borderId="21" xfId="0" applyFont="1" applyFill="1" applyBorder="1" applyAlignment="1" applyProtection="1">
      <alignment horizontal="center" vertical="center"/>
    </xf>
    <xf numFmtId="0" fontId="85" fillId="2" borderId="22" xfId="0" applyFont="1" applyFill="1" applyBorder="1" applyAlignment="1" applyProtection="1">
      <alignment horizontal="center" vertical="center"/>
    </xf>
    <xf numFmtId="0" fontId="85" fillId="2" borderId="24" xfId="0" applyFont="1" applyFill="1" applyBorder="1" applyAlignment="1" applyProtection="1">
      <alignment horizontal="center" vertical="center"/>
    </xf>
    <xf numFmtId="0" fontId="85" fillId="2" borderId="0" xfId="0" applyFont="1" applyFill="1" applyBorder="1" applyAlignment="1" applyProtection="1">
      <alignment horizontal="center" vertical="center"/>
    </xf>
    <xf numFmtId="0" fontId="85" fillId="2" borderId="23" xfId="0" applyFont="1" applyFill="1" applyBorder="1" applyAlignment="1" applyProtection="1">
      <alignment horizontal="center" vertical="center"/>
    </xf>
    <xf numFmtId="0" fontId="85" fillId="2" borderId="18" xfId="0" applyFont="1" applyFill="1" applyBorder="1" applyAlignment="1" applyProtection="1">
      <alignment horizontal="center" vertical="center"/>
    </xf>
    <xf numFmtId="0" fontId="85" fillId="2" borderId="25" xfId="0" applyFont="1" applyFill="1" applyBorder="1" applyAlignment="1" applyProtection="1">
      <alignment horizontal="center" vertical="center"/>
    </xf>
    <xf numFmtId="0" fontId="85" fillId="2" borderId="26" xfId="0" applyFont="1" applyFill="1" applyBorder="1" applyAlignment="1" applyProtection="1">
      <alignment horizontal="center" vertical="center"/>
    </xf>
    <xf numFmtId="0" fontId="34" fillId="2" borderId="27" xfId="0" applyFont="1" applyFill="1" applyBorder="1" applyAlignment="1" applyProtection="1">
      <alignment horizontal="center" vertical="center" wrapText="1"/>
    </xf>
    <xf numFmtId="0" fontId="34" fillId="2" borderId="21" xfId="0" applyFont="1" applyFill="1" applyBorder="1" applyAlignment="1" applyProtection="1">
      <alignment horizontal="center" vertical="center" wrapText="1"/>
    </xf>
    <xf numFmtId="0" fontId="34" fillId="2" borderId="22" xfId="0" applyFont="1" applyFill="1" applyBorder="1" applyAlignment="1" applyProtection="1">
      <alignment horizontal="center" vertical="center" wrapText="1"/>
    </xf>
    <xf numFmtId="0" fontId="34" fillId="2" borderId="24" xfId="0" applyFont="1" applyFill="1" applyBorder="1" applyAlignment="1" applyProtection="1">
      <alignment horizontal="center" vertical="center" wrapText="1"/>
    </xf>
    <xf numFmtId="0" fontId="34" fillId="2" borderId="23" xfId="0" applyFont="1" applyFill="1" applyBorder="1" applyAlignment="1" applyProtection="1">
      <alignment horizontal="center" vertical="center" wrapText="1"/>
    </xf>
    <xf numFmtId="0" fontId="34" fillId="2" borderId="18" xfId="0" applyFont="1" applyFill="1" applyBorder="1" applyAlignment="1" applyProtection="1">
      <alignment horizontal="center" vertical="center" wrapText="1"/>
    </xf>
    <xf numFmtId="0" fontId="34" fillId="2" borderId="25" xfId="0" applyFont="1" applyFill="1" applyBorder="1" applyAlignment="1" applyProtection="1">
      <alignment horizontal="center" vertical="center" wrapText="1"/>
    </xf>
    <xf numFmtId="0" fontId="34" fillId="2" borderId="26" xfId="0" applyFont="1" applyFill="1" applyBorder="1" applyAlignment="1" applyProtection="1">
      <alignment horizontal="center" vertical="center" wrapText="1"/>
    </xf>
    <xf numFmtId="0" fontId="74" fillId="13" borderId="1" xfId="0" applyFont="1" applyFill="1" applyBorder="1" applyAlignment="1" applyProtection="1">
      <alignment horizontal="center" vertical="center" wrapText="1"/>
    </xf>
    <xf numFmtId="178" fontId="74" fillId="13" borderId="1" xfId="0" applyNumberFormat="1" applyFont="1" applyFill="1" applyBorder="1" applyAlignment="1" applyProtection="1">
      <alignment horizontal="center" vertical="center"/>
    </xf>
    <xf numFmtId="43" fontId="74" fillId="2" borderId="24" xfId="0" applyNumberFormat="1" applyFont="1" applyFill="1" applyBorder="1" applyAlignment="1" applyProtection="1">
      <alignment horizontal="center" vertical="center"/>
    </xf>
    <xf numFmtId="43" fontId="74" fillId="2" borderId="0" xfId="0" applyNumberFormat="1" applyFont="1" applyFill="1" applyBorder="1" applyAlignment="1" applyProtection="1">
      <alignment horizontal="center" vertical="center"/>
    </xf>
    <xf numFmtId="43" fontId="74" fillId="2" borderId="23" xfId="0" applyNumberFormat="1" applyFont="1" applyFill="1" applyBorder="1" applyAlignment="1" applyProtection="1">
      <alignment horizontal="center" vertical="center"/>
    </xf>
    <xf numFmtId="43" fontId="74" fillId="2" borderId="18" xfId="0" applyNumberFormat="1" applyFont="1" applyFill="1" applyBorder="1" applyAlignment="1" applyProtection="1">
      <alignment horizontal="center" vertical="center"/>
    </xf>
    <xf numFmtId="43" fontId="74" fillId="2" borderId="25" xfId="0" applyNumberFormat="1" applyFont="1" applyFill="1" applyBorder="1" applyAlignment="1" applyProtection="1">
      <alignment horizontal="center" vertical="center"/>
    </xf>
    <xf numFmtId="43" fontId="74" fillId="2" borderId="26" xfId="0" applyNumberFormat="1" applyFont="1" applyFill="1" applyBorder="1" applyAlignment="1" applyProtection="1">
      <alignment horizontal="center" vertical="center"/>
    </xf>
    <xf numFmtId="0" fontId="85" fillId="2" borderId="27" xfId="0" applyFont="1" applyFill="1" applyBorder="1" applyAlignment="1" applyProtection="1">
      <alignment horizontal="center" vertical="center" wrapText="1"/>
    </xf>
    <xf numFmtId="0" fontId="85" fillId="2" borderId="21" xfId="0" applyFont="1" applyFill="1" applyBorder="1" applyAlignment="1" applyProtection="1">
      <alignment horizontal="center" vertical="center" wrapText="1"/>
    </xf>
    <xf numFmtId="0" fontId="85" fillId="2" borderId="22" xfId="0" applyFont="1" applyFill="1" applyBorder="1" applyAlignment="1" applyProtection="1">
      <alignment horizontal="center" vertical="center" wrapText="1"/>
    </xf>
    <xf numFmtId="0" fontId="85" fillId="2" borderId="24" xfId="0" applyFont="1" applyFill="1" applyBorder="1" applyAlignment="1" applyProtection="1">
      <alignment horizontal="center" vertical="center" wrapText="1"/>
    </xf>
    <xf numFmtId="0" fontId="85" fillId="2" borderId="0" xfId="0" applyFont="1" applyFill="1" applyBorder="1" applyAlignment="1" applyProtection="1">
      <alignment horizontal="center" vertical="center" wrapText="1"/>
    </xf>
    <xf numFmtId="0" fontId="85" fillId="2" borderId="23" xfId="0" applyFont="1" applyFill="1" applyBorder="1" applyAlignment="1" applyProtection="1">
      <alignment horizontal="center" vertical="center" wrapText="1"/>
    </xf>
    <xf numFmtId="0" fontId="85" fillId="2" borderId="18" xfId="0" applyFont="1" applyFill="1" applyBorder="1" applyAlignment="1" applyProtection="1">
      <alignment horizontal="center" vertical="center" wrapText="1"/>
    </xf>
    <xf numFmtId="0" fontId="85" fillId="2" borderId="25" xfId="0" applyFont="1" applyFill="1" applyBorder="1" applyAlignment="1" applyProtection="1">
      <alignment horizontal="center" vertical="center" wrapText="1"/>
    </xf>
    <xf numFmtId="0" fontId="85" fillId="2" borderId="26" xfId="0" applyFont="1" applyFill="1" applyBorder="1" applyAlignment="1" applyProtection="1">
      <alignment horizontal="center" vertical="center" wrapText="1"/>
    </xf>
    <xf numFmtId="0" fontId="74" fillId="13" borderId="71" xfId="0" applyFont="1" applyFill="1" applyBorder="1" applyAlignment="1" applyProtection="1">
      <alignment horizontal="center" vertical="center" wrapText="1"/>
    </xf>
    <xf numFmtId="0" fontId="74" fillId="13" borderId="81" xfId="0" applyFont="1" applyFill="1" applyBorder="1" applyAlignment="1" applyProtection="1">
      <alignment horizontal="center" vertical="center" wrapText="1"/>
    </xf>
    <xf numFmtId="0" fontId="74" fillId="13" borderId="72" xfId="0" applyFont="1" applyFill="1" applyBorder="1" applyAlignment="1" applyProtection="1">
      <alignment horizontal="center" vertical="center" wrapText="1"/>
    </xf>
    <xf numFmtId="7" fontId="74" fillId="2" borderId="3" xfId="0" applyNumberFormat="1" applyFont="1" applyFill="1" applyBorder="1" applyAlignment="1" applyProtection="1">
      <alignment horizontal="center" vertical="center"/>
    </xf>
    <xf numFmtId="0" fontId="74" fillId="13" borderId="90" xfId="0" applyFont="1" applyFill="1" applyBorder="1" applyAlignment="1" applyProtection="1">
      <alignment horizontal="center" vertical="center" wrapText="1"/>
    </xf>
    <xf numFmtId="0" fontId="74" fillId="13" borderId="85" xfId="0" applyFont="1" applyFill="1" applyBorder="1" applyAlignment="1" applyProtection="1">
      <alignment horizontal="center" vertical="center" wrapText="1"/>
    </xf>
    <xf numFmtId="0" fontId="74" fillId="13" borderId="86" xfId="0" applyFont="1" applyFill="1" applyBorder="1" applyAlignment="1" applyProtection="1">
      <alignment horizontal="center" vertical="center" wrapText="1"/>
    </xf>
    <xf numFmtId="0" fontId="74" fillId="13" borderId="82" xfId="0" applyFont="1" applyFill="1" applyBorder="1" applyAlignment="1" applyProtection="1">
      <alignment horizontal="center" vertical="center" wrapText="1"/>
    </xf>
    <xf numFmtId="0" fontId="74" fillId="13" borderId="0" xfId="0" applyFont="1" applyFill="1" applyBorder="1" applyAlignment="1" applyProtection="1">
      <alignment horizontal="center" vertical="center" wrapText="1"/>
    </xf>
    <xf numFmtId="0" fontId="74" fillId="13" borderId="45" xfId="0" applyFont="1" applyFill="1" applyBorder="1" applyAlignment="1" applyProtection="1">
      <alignment horizontal="center" vertical="center" wrapText="1"/>
    </xf>
    <xf numFmtId="0" fontId="74" fillId="13" borderId="66" xfId="0" applyFont="1" applyFill="1" applyBorder="1" applyAlignment="1" applyProtection="1">
      <alignment horizontal="center" vertical="center" wrapText="1"/>
    </xf>
    <xf numFmtId="0" fontId="74" fillId="13" borderId="87" xfId="0" applyFont="1" applyFill="1" applyBorder="1" applyAlignment="1" applyProtection="1">
      <alignment horizontal="center" vertical="center" wrapText="1"/>
    </xf>
    <xf numFmtId="0" fontId="74" fillId="13" borderId="68" xfId="0" applyFont="1" applyFill="1" applyBorder="1" applyAlignment="1" applyProtection="1">
      <alignment horizontal="center" vertical="center" wrapText="1"/>
    </xf>
    <xf numFmtId="0" fontId="48" fillId="2" borderId="24" xfId="0" applyFont="1" applyFill="1" applyBorder="1" applyAlignment="1" applyProtection="1">
      <alignment horizontal="center" vertical="center" wrapText="1"/>
    </xf>
    <xf numFmtId="0" fontId="48" fillId="2" borderId="0" xfId="0" applyFont="1" applyFill="1" applyBorder="1" applyAlignment="1" applyProtection="1">
      <alignment horizontal="center" vertical="center" wrapText="1"/>
    </xf>
    <xf numFmtId="0" fontId="48" fillId="2" borderId="23" xfId="0" applyFont="1" applyFill="1" applyBorder="1" applyAlignment="1" applyProtection="1">
      <alignment horizontal="center" vertical="center" wrapText="1"/>
    </xf>
    <xf numFmtId="0" fontId="48" fillId="2" borderId="25" xfId="0" applyFont="1" applyFill="1" applyBorder="1" applyAlignment="1" applyProtection="1">
      <alignment horizontal="center" vertical="center" wrapText="1"/>
    </xf>
    <xf numFmtId="7" fontId="74" fillId="13" borderId="90" xfId="0" applyNumberFormat="1" applyFont="1" applyFill="1" applyBorder="1" applyAlignment="1" applyProtection="1">
      <alignment horizontal="center" vertical="center"/>
    </xf>
    <xf numFmtId="7" fontId="74" fillId="13" borderId="85" xfId="0" applyNumberFormat="1" applyFont="1" applyFill="1" applyBorder="1" applyAlignment="1" applyProtection="1">
      <alignment horizontal="center" vertical="center"/>
    </xf>
    <xf numFmtId="7" fontId="74" fillId="13" borderId="86" xfId="0" applyNumberFormat="1" applyFont="1" applyFill="1" applyBorder="1" applyAlignment="1" applyProtection="1">
      <alignment horizontal="center" vertical="center"/>
    </xf>
    <xf numFmtId="7" fontId="74" fillId="13" borderId="66" xfId="0" applyNumberFormat="1" applyFont="1" applyFill="1" applyBorder="1" applyAlignment="1" applyProtection="1">
      <alignment horizontal="center" vertical="center"/>
    </xf>
    <xf numFmtId="7" fontId="74" fillId="13" borderId="87" xfId="0" applyNumberFormat="1" applyFont="1" applyFill="1" applyBorder="1" applyAlignment="1" applyProtection="1">
      <alignment horizontal="center" vertical="center"/>
    </xf>
    <xf numFmtId="7" fontId="74" fillId="13" borderId="68" xfId="0" applyNumberFormat="1" applyFont="1" applyFill="1" applyBorder="1" applyAlignment="1" applyProtection="1">
      <alignment horizontal="center" vertical="center"/>
    </xf>
    <xf numFmtId="7" fontId="74" fillId="13" borderId="81" xfId="0" applyNumberFormat="1" applyFont="1" applyFill="1" applyBorder="1" applyAlignment="1" applyProtection="1">
      <alignment horizontal="center" vertical="center"/>
    </xf>
    <xf numFmtId="166" fontId="44" fillId="13" borderId="71" xfId="2" applyFont="1" applyFill="1" applyBorder="1" applyAlignment="1" applyProtection="1">
      <alignment horizontal="center" vertical="center"/>
    </xf>
    <xf numFmtId="166" fontId="44" fillId="13" borderId="72" xfId="2" applyFont="1" applyFill="1" applyBorder="1" applyAlignment="1" applyProtection="1">
      <alignment horizontal="center" vertical="center"/>
    </xf>
    <xf numFmtId="0" fontId="47" fillId="25" borderId="27" xfId="0" applyFont="1" applyFill="1" applyBorder="1" applyAlignment="1" applyProtection="1">
      <alignment horizontal="center" vertical="center"/>
    </xf>
    <xf numFmtId="0" fontId="47" fillId="25" borderId="21" xfId="0" applyFont="1" applyFill="1" applyBorder="1" applyAlignment="1" applyProtection="1">
      <alignment horizontal="center" vertical="center"/>
    </xf>
    <xf numFmtId="0" fontId="47" fillId="25" borderId="22" xfId="0" applyFont="1" applyFill="1" applyBorder="1" applyAlignment="1" applyProtection="1">
      <alignment horizontal="center" vertical="center"/>
    </xf>
    <xf numFmtId="0" fontId="47" fillId="25" borderId="24" xfId="0" applyFont="1" applyFill="1" applyBorder="1" applyAlignment="1" applyProtection="1">
      <alignment horizontal="center" vertical="center"/>
    </xf>
    <xf numFmtId="0" fontId="47" fillId="25" borderId="0" xfId="0" applyFont="1" applyFill="1" applyBorder="1" applyAlignment="1" applyProtection="1">
      <alignment horizontal="center" vertical="center"/>
    </xf>
    <xf numFmtId="0" fontId="47" fillId="25" borderId="23" xfId="0" applyFont="1" applyFill="1" applyBorder="1" applyAlignment="1" applyProtection="1">
      <alignment horizontal="center" vertical="center"/>
    </xf>
    <xf numFmtId="0" fontId="47" fillId="25" borderId="18" xfId="0" applyFont="1" applyFill="1" applyBorder="1" applyAlignment="1" applyProtection="1">
      <alignment horizontal="center" vertical="center"/>
    </xf>
    <xf numFmtId="0" fontId="47" fillId="25" borderId="25" xfId="0" applyFont="1" applyFill="1" applyBorder="1" applyAlignment="1" applyProtection="1">
      <alignment horizontal="center" vertical="center"/>
    </xf>
    <xf numFmtId="0" fontId="47" fillId="25" borderId="26" xfId="0" applyFont="1" applyFill="1" applyBorder="1" applyAlignment="1" applyProtection="1">
      <alignment horizontal="center" vertical="center"/>
    </xf>
    <xf numFmtId="177" fontId="53" fillId="34" borderId="1" xfId="0" applyNumberFormat="1" applyFont="1" applyFill="1" applyBorder="1" applyAlignment="1" applyProtection="1">
      <alignment horizontal="center" vertical="center"/>
    </xf>
    <xf numFmtId="0" fontId="53" fillId="34" borderId="85" xfId="0" applyFont="1" applyFill="1" applyBorder="1" applyAlignment="1" applyProtection="1">
      <alignment horizontal="center" vertical="center" wrapText="1"/>
    </xf>
    <xf numFmtId="0" fontId="53" fillId="34" borderId="0" xfId="0" applyFont="1" applyFill="1" applyBorder="1" applyAlignment="1" applyProtection="1">
      <alignment horizontal="center" vertical="center" wrapText="1"/>
    </xf>
    <xf numFmtId="0" fontId="53" fillId="34" borderId="87" xfId="0" applyFont="1" applyFill="1" applyBorder="1" applyAlignment="1" applyProtection="1">
      <alignment horizontal="center" vertical="center" wrapText="1"/>
    </xf>
    <xf numFmtId="0" fontId="53" fillId="34" borderId="115" xfId="0" applyFont="1" applyFill="1" applyBorder="1" applyAlignment="1" applyProtection="1">
      <alignment horizontal="center" vertical="center" wrapText="1"/>
    </xf>
    <xf numFmtId="0" fontId="70" fillId="28" borderId="82" xfId="0" applyFont="1" applyFill="1" applyBorder="1" applyAlignment="1" applyProtection="1">
      <alignment horizontal="center" vertical="center" wrapText="1"/>
    </xf>
    <xf numFmtId="0" fontId="48" fillId="6" borderId="82" xfId="0" applyFont="1" applyFill="1" applyBorder="1" applyAlignment="1" applyProtection="1">
      <alignment horizontal="center" vertical="center" wrapText="1"/>
    </xf>
    <xf numFmtId="0" fontId="48" fillId="6" borderId="0" xfId="0" applyFont="1" applyFill="1" applyBorder="1" applyAlignment="1" applyProtection="1">
      <alignment horizontal="center" vertical="center" wrapText="1"/>
    </xf>
    <xf numFmtId="17" fontId="53" fillId="34" borderId="122" xfId="0" applyNumberFormat="1" applyFont="1" applyFill="1" applyBorder="1" applyAlignment="1" applyProtection="1">
      <alignment horizontal="center" vertical="center"/>
    </xf>
    <xf numFmtId="17" fontId="53" fillId="34" borderId="125" xfId="0" applyNumberFormat="1" applyFont="1" applyFill="1" applyBorder="1" applyAlignment="1" applyProtection="1">
      <alignment horizontal="center" vertical="center"/>
    </xf>
    <xf numFmtId="17" fontId="53" fillId="34" borderId="126" xfId="0" applyNumberFormat="1" applyFont="1" applyFill="1" applyBorder="1" applyAlignment="1" applyProtection="1">
      <alignment horizontal="center" vertical="center"/>
    </xf>
    <xf numFmtId="17" fontId="53" fillId="34" borderId="127" xfId="0" applyNumberFormat="1" applyFont="1" applyFill="1" applyBorder="1" applyAlignment="1" applyProtection="1">
      <alignment horizontal="center" vertical="center"/>
    </xf>
    <xf numFmtId="166" fontId="78" fillId="13" borderId="88" xfId="2" applyFont="1" applyFill="1" applyBorder="1" applyAlignment="1" applyProtection="1">
      <alignment horizontal="center" vertical="center"/>
    </xf>
    <xf numFmtId="166" fontId="78" fillId="13" borderId="81" xfId="2" applyFont="1" applyFill="1" applyBorder="1" applyAlignment="1" applyProtection="1">
      <alignment horizontal="center" vertical="center"/>
    </xf>
    <xf numFmtId="166" fontId="78" fillId="13" borderId="89" xfId="2" applyFont="1" applyFill="1" applyBorder="1" applyAlignment="1" applyProtection="1">
      <alignment horizontal="center" vertical="center"/>
    </xf>
    <xf numFmtId="166" fontId="44" fillId="13" borderId="4" xfId="2" applyFont="1" applyFill="1" applyBorder="1" applyAlignment="1" applyProtection="1">
      <alignment horizontal="center" vertical="center"/>
    </xf>
    <xf numFmtId="166" fontId="44" fillId="13" borderId="6" xfId="2" applyFont="1" applyFill="1" applyBorder="1" applyAlignment="1" applyProtection="1">
      <alignment horizontal="center" vertical="center"/>
    </xf>
    <xf numFmtId="166" fontId="44" fillId="13" borderId="33" xfId="2" applyFont="1" applyFill="1" applyBorder="1" applyAlignment="1" applyProtection="1">
      <alignment horizontal="center" vertical="center"/>
    </xf>
    <xf numFmtId="167" fontId="44" fillId="2" borderId="123" xfId="10" applyFont="1" applyFill="1" applyBorder="1" applyAlignment="1" applyProtection="1">
      <alignment horizontal="center" vertical="center"/>
    </xf>
    <xf numFmtId="167" fontId="44" fillId="2" borderId="85" xfId="10" applyFont="1" applyFill="1" applyBorder="1" applyAlignment="1" applyProtection="1">
      <alignment horizontal="center" vertical="center"/>
    </xf>
    <xf numFmtId="166" fontId="67" fillId="13" borderId="81" xfId="2" applyFont="1" applyFill="1" applyBorder="1" applyAlignment="1" applyProtection="1">
      <alignment horizontal="center" vertical="center"/>
    </xf>
    <xf numFmtId="167" fontId="67" fillId="2" borderId="0" xfId="10" applyFont="1" applyFill="1" applyBorder="1" applyAlignment="1" applyProtection="1">
      <alignment horizontal="center" vertical="center"/>
    </xf>
    <xf numFmtId="0" fontId="72" fillId="2" borderId="94" xfId="0" applyFont="1" applyFill="1" applyBorder="1" applyAlignment="1" applyProtection="1">
      <alignment horizontal="center" vertical="center" wrapText="1"/>
    </xf>
    <xf numFmtId="0" fontId="72" fillId="2" borderId="95" xfId="0" applyFont="1" applyFill="1" applyBorder="1" applyAlignment="1" applyProtection="1">
      <alignment horizontal="center" vertical="center" wrapText="1"/>
    </xf>
    <xf numFmtId="0" fontId="72" fillId="2" borderId="96" xfId="0" applyFont="1" applyFill="1" applyBorder="1" applyAlignment="1" applyProtection="1">
      <alignment horizontal="center" vertical="center" wrapText="1"/>
    </xf>
    <xf numFmtId="0" fontId="62" fillId="3" borderId="75" xfId="0" applyFont="1" applyFill="1" applyBorder="1" applyAlignment="1" applyProtection="1">
      <alignment horizontal="center" vertical="center" wrapText="1"/>
    </xf>
    <xf numFmtId="0" fontId="62" fillId="3" borderId="76" xfId="0" applyFont="1" applyFill="1" applyBorder="1" applyAlignment="1" applyProtection="1">
      <alignment horizontal="center" vertical="center" wrapText="1"/>
    </xf>
    <xf numFmtId="0" fontId="62" fillId="3" borderId="77" xfId="0" applyFont="1" applyFill="1" applyBorder="1" applyAlignment="1" applyProtection="1">
      <alignment horizontal="center" vertical="center" wrapText="1"/>
    </xf>
    <xf numFmtId="0" fontId="48" fillId="5" borderId="4" xfId="0" applyFont="1" applyFill="1" applyBorder="1" applyAlignment="1" applyProtection="1">
      <alignment horizontal="center" vertical="center"/>
    </xf>
    <xf numFmtId="0" fontId="48" fillId="5" borderId="6" xfId="0" applyFont="1" applyFill="1" applyBorder="1" applyAlignment="1" applyProtection="1">
      <alignment horizontal="center" vertical="center"/>
    </xf>
    <xf numFmtId="0" fontId="48" fillId="5" borderId="33" xfId="0" applyFont="1" applyFill="1" applyBorder="1" applyAlignment="1" applyProtection="1">
      <alignment horizontal="center" vertical="center"/>
    </xf>
    <xf numFmtId="0" fontId="34" fillId="2" borderId="0" xfId="0" applyFont="1" applyFill="1" applyBorder="1" applyAlignment="1" applyProtection="1">
      <alignment horizontal="center" vertical="center"/>
    </xf>
    <xf numFmtId="14" fontId="53" fillId="34" borderId="0" xfId="2" applyNumberFormat="1" applyFont="1" applyFill="1" applyBorder="1" applyAlignment="1" applyProtection="1">
      <alignment horizontal="center" vertical="center"/>
    </xf>
    <xf numFmtId="166" fontId="49" fillId="36" borderId="111" xfId="2" applyFont="1" applyFill="1" applyBorder="1" applyAlignment="1" applyProtection="1">
      <alignment horizontal="center" vertical="center"/>
    </xf>
    <xf numFmtId="166" fontId="49" fillId="36" borderId="112" xfId="2" applyFont="1" applyFill="1" applyBorder="1" applyAlignment="1" applyProtection="1">
      <alignment horizontal="center" vertical="center"/>
    </xf>
    <xf numFmtId="166" fontId="49" fillId="36" borderId="113" xfId="2" applyFont="1" applyFill="1" applyBorder="1" applyAlignment="1" applyProtection="1">
      <alignment horizontal="center" vertical="center"/>
    </xf>
    <xf numFmtId="0" fontId="48" fillId="2" borderId="4" xfId="0" applyFont="1" applyFill="1" applyBorder="1" applyAlignment="1" applyProtection="1">
      <alignment horizontal="left" vertical="center"/>
    </xf>
    <xf numFmtId="0" fontId="48" fillId="2" borderId="33" xfId="0" applyFont="1" applyFill="1" applyBorder="1" applyAlignment="1" applyProtection="1">
      <alignment horizontal="left" vertical="center"/>
    </xf>
    <xf numFmtId="0" fontId="49" fillId="13" borderId="78" xfId="0" applyNumberFormat="1" applyFont="1" applyFill="1" applyBorder="1" applyAlignment="1" applyProtection="1">
      <alignment horizontal="center" vertical="center"/>
    </xf>
    <xf numFmtId="0" fontId="49" fillId="13" borderId="79" xfId="0" applyNumberFormat="1" applyFont="1" applyFill="1" applyBorder="1" applyAlignment="1" applyProtection="1">
      <alignment horizontal="center" vertical="center"/>
    </xf>
    <xf numFmtId="0" fontId="50" fillId="13" borderId="1" xfId="0" applyFont="1" applyFill="1" applyBorder="1" applyAlignment="1" applyProtection="1">
      <alignment horizontal="center" vertical="center"/>
    </xf>
    <xf numFmtId="167" fontId="67" fillId="13" borderId="1" xfId="10" applyFont="1" applyFill="1" applyBorder="1" applyAlignment="1" applyProtection="1">
      <alignment horizontal="center" vertical="center"/>
    </xf>
    <xf numFmtId="0" fontId="36" fillId="26" borderId="4" xfId="0" applyFont="1" applyFill="1" applyBorder="1" applyAlignment="1" applyProtection="1">
      <alignment horizontal="center" vertical="center"/>
    </xf>
    <xf numFmtId="0" fontId="36" fillId="26" borderId="33" xfId="0" applyFont="1" applyFill="1" applyBorder="1" applyAlignment="1" applyProtection="1">
      <alignment horizontal="center" vertical="center"/>
    </xf>
    <xf numFmtId="166" fontId="36" fillId="10" borderId="6" xfId="2" applyFont="1" applyFill="1" applyBorder="1" applyAlignment="1" applyProtection="1">
      <alignment horizontal="center" vertical="center"/>
    </xf>
    <xf numFmtId="0" fontId="34" fillId="2" borderId="15" xfId="0" applyFont="1" applyFill="1" applyBorder="1" applyAlignment="1" applyProtection="1">
      <alignment horizontal="center" vertical="center"/>
    </xf>
    <xf numFmtId="0" fontId="34" fillId="2" borderId="74" xfId="0" applyFont="1" applyFill="1" applyBorder="1" applyAlignment="1" applyProtection="1">
      <alignment horizontal="center" vertical="center"/>
    </xf>
    <xf numFmtId="166" fontId="49" fillId="35" borderId="0" xfId="2" applyFont="1" applyFill="1" applyBorder="1" applyAlignment="1" applyProtection="1">
      <alignment horizontal="center" vertical="center"/>
      <protection locked="0"/>
    </xf>
    <xf numFmtId="0" fontId="48" fillId="2" borderId="8" xfId="0" applyFont="1" applyFill="1" applyBorder="1" applyAlignment="1" applyProtection="1">
      <alignment horizontal="center" vertical="center"/>
    </xf>
    <xf numFmtId="0" fontId="48" fillId="2" borderId="0" xfId="0" applyFont="1" applyFill="1" applyBorder="1" applyAlignment="1" applyProtection="1">
      <alignment horizontal="center" vertical="center"/>
    </xf>
    <xf numFmtId="0" fontId="48" fillId="2" borderId="10" xfId="0" applyFont="1" applyFill="1" applyBorder="1" applyAlignment="1" applyProtection="1">
      <alignment horizontal="center" vertical="center"/>
    </xf>
    <xf numFmtId="0" fontId="48" fillId="2" borderId="100" xfId="0" applyFont="1" applyFill="1" applyBorder="1" applyAlignment="1" applyProtection="1">
      <alignment horizontal="center" vertical="center"/>
    </xf>
    <xf numFmtId="0" fontId="48" fillId="2" borderId="101" xfId="0" applyFont="1" applyFill="1" applyBorder="1" applyAlignment="1" applyProtection="1">
      <alignment horizontal="center" vertical="center"/>
    </xf>
    <xf numFmtId="0" fontId="48" fillId="2" borderId="70" xfId="0" applyFont="1" applyFill="1" applyBorder="1" applyAlignment="1" applyProtection="1">
      <alignment horizontal="center" vertical="center"/>
    </xf>
    <xf numFmtId="167" fontId="44" fillId="2" borderId="88" xfId="10" applyFont="1" applyFill="1" applyBorder="1" applyAlignment="1" applyProtection="1">
      <alignment horizontal="center" vertical="center"/>
    </xf>
    <xf numFmtId="167" fontId="44" fillId="2" borderId="81" xfId="10" applyFont="1" applyFill="1" applyBorder="1" applyAlignment="1" applyProtection="1">
      <alignment horizontal="center" vertical="center"/>
    </xf>
    <xf numFmtId="0" fontId="67" fillId="2" borderId="139" xfId="0" applyFont="1" applyFill="1" applyBorder="1" applyAlignment="1" applyProtection="1">
      <alignment horizontal="center" vertical="center" wrapText="1"/>
    </xf>
    <xf numFmtId="166" fontId="38" fillId="33" borderId="135" xfId="2" applyFont="1" applyFill="1" applyBorder="1" applyAlignment="1" applyProtection="1">
      <alignment horizontal="center" vertical="center"/>
    </xf>
    <xf numFmtId="166" fontId="38" fillId="33" borderId="119" xfId="2" applyFont="1" applyFill="1" applyBorder="1" applyAlignment="1" applyProtection="1">
      <alignment horizontal="center" vertical="center"/>
    </xf>
    <xf numFmtId="166" fontId="38" fillId="33" borderId="121" xfId="2" applyFont="1" applyFill="1" applyBorder="1" applyAlignment="1" applyProtection="1">
      <alignment horizontal="center" vertical="center"/>
    </xf>
    <xf numFmtId="0" fontId="56" fillId="20" borderId="0" xfId="0" applyFont="1" applyFill="1" applyBorder="1" applyAlignment="1" applyProtection="1">
      <alignment horizontal="center" vertical="center"/>
    </xf>
    <xf numFmtId="0" fontId="53" fillId="20" borderId="0" xfId="0" applyFont="1" applyFill="1" applyBorder="1" applyAlignment="1" applyProtection="1">
      <alignment horizontal="center" vertical="center" wrapText="1"/>
    </xf>
    <xf numFmtId="166" fontId="52" fillId="35" borderId="120" xfId="2" applyFont="1" applyFill="1" applyBorder="1" applyAlignment="1" applyProtection="1">
      <alignment horizontal="center" vertical="center"/>
      <protection locked="0"/>
    </xf>
    <xf numFmtId="176" fontId="51" fillId="2" borderId="0" xfId="2" applyNumberFormat="1" applyFont="1" applyFill="1" applyAlignment="1" applyProtection="1">
      <alignment horizontal="center" vertical="center"/>
    </xf>
    <xf numFmtId="176" fontId="51" fillId="2" borderId="21" xfId="2" applyNumberFormat="1" applyFont="1" applyFill="1" applyBorder="1" applyAlignment="1" applyProtection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4" fillId="2" borderId="33" xfId="0" applyFont="1" applyFill="1" applyBorder="1" applyAlignment="1">
      <alignment horizontal="left" vertical="center"/>
    </xf>
    <xf numFmtId="0" fontId="0" fillId="2" borderId="15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5" fillId="8" borderId="3" xfId="0" applyFont="1" applyFill="1" applyBorder="1" applyAlignment="1" applyProtection="1">
      <alignment horizontal="center" vertical="center"/>
    </xf>
    <xf numFmtId="0" fontId="0" fillId="5" borderId="3" xfId="0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33" xfId="0" applyBorder="1" applyAlignment="1" applyProtection="1">
      <alignment horizontal="center" vertical="center" wrapText="1"/>
    </xf>
    <xf numFmtId="0" fontId="0" fillId="0" borderId="34" xfId="0" applyBorder="1" applyAlignment="1" applyProtection="1">
      <alignment horizontal="center" vertical="center" wrapText="1"/>
    </xf>
    <xf numFmtId="0" fontId="0" fillId="0" borderId="102" xfId="0" applyBorder="1" applyAlignment="1" applyProtection="1">
      <alignment horizontal="center" vertical="center" wrapText="1"/>
    </xf>
    <xf numFmtId="168" fontId="5" fillId="5" borderId="103" xfId="10" applyNumberFormat="1" applyFont="1" applyFill="1" applyBorder="1" applyAlignment="1" applyProtection="1">
      <alignment horizontal="center" vertical="center" wrapText="1"/>
    </xf>
    <xf numFmtId="168" fontId="5" fillId="5" borderId="104" xfId="10" applyNumberFormat="1" applyFont="1" applyFill="1" applyBorder="1" applyAlignment="1" applyProtection="1">
      <alignment horizontal="center" vertical="center" wrapText="1"/>
    </xf>
    <xf numFmtId="168" fontId="0" fillId="5" borderId="20" xfId="10" applyNumberFormat="1" applyFont="1" applyFill="1" applyBorder="1" applyAlignment="1" applyProtection="1">
      <alignment horizontal="center" vertical="center" wrapText="1"/>
    </xf>
    <xf numFmtId="2" fontId="0" fillId="0" borderId="4" xfId="0" applyNumberFormat="1" applyBorder="1" applyAlignment="1" applyProtection="1">
      <alignment horizontal="center" vertical="center" wrapText="1"/>
    </xf>
    <xf numFmtId="2" fontId="0" fillId="0" borderId="33" xfId="0" applyNumberFormat="1" applyBorder="1" applyAlignment="1" applyProtection="1">
      <alignment horizontal="center" vertical="center" wrapText="1"/>
    </xf>
    <xf numFmtId="0" fontId="4" fillId="5" borderId="4" xfId="0" applyFont="1" applyFill="1" applyBorder="1" applyAlignment="1" applyProtection="1">
      <alignment horizontal="center" vertical="center" wrapText="1"/>
    </xf>
    <xf numFmtId="0" fontId="4" fillId="5" borderId="33" xfId="0" applyFont="1" applyFill="1" applyBorder="1" applyAlignment="1" applyProtection="1">
      <alignment horizontal="center" vertical="center" wrapText="1"/>
    </xf>
    <xf numFmtId="0" fontId="4" fillId="5" borderId="3" xfId="0" applyFont="1" applyFill="1" applyBorder="1" applyAlignment="1" applyProtection="1">
      <alignment horizontal="center" vertical="center" wrapText="1"/>
    </xf>
    <xf numFmtId="0" fontId="0" fillId="0" borderId="27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167" fontId="2" fillId="7" borderId="4" xfId="10" applyFont="1" applyFill="1" applyBorder="1" applyAlignment="1" applyProtection="1">
      <alignment horizontal="center" vertical="center"/>
    </xf>
    <xf numFmtId="167" fontId="2" fillId="7" borderId="33" xfId="10" applyFont="1" applyFill="1" applyBorder="1" applyAlignment="1" applyProtection="1">
      <alignment horizontal="center" vertical="center"/>
    </xf>
    <xf numFmtId="0" fontId="4" fillId="5" borderId="15" xfId="0" applyFont="1" applyFill="1" applyBorder="1" applyAlignment="1" applyProtection="1">
      <alignment horizontal="center" vertical="center"/>
    </xf>
    <xf numFmtId="0" fontId="4" fillId="5" borderId="3" xfId="0" applyFont="1" applyFill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 wrapText="1"/>
    </xf>
    <xf numFmtId="0" fontId="0" fillId="0" borderId="105" xfId="0" applyBorder="1" applyAlignment="1" applyProtection="1">
      <alignment horizontal="center" vertical="center" wrapText="1"/>
    </xf>
    <xf numFmtId="0" fontId="0" fillId="0" borderId="106" xfId="0" applyBorder="1" applyAlignment="1" applyProtection="1">
      <alignment horizontal="center" vertical="center" wrapText="1"/>
    </xf>
    <xf numFmtId="10" fontId="4" fillId="0" borderId="15" xfId="0" applyNumberFormat="1" applyFont="1" applyBorder="1" applyAlignment="1" applyProtection="1">
      <alignment horizontal="center" vertical="center" wrapText="1"/>
    </xf>
    <xf numFmtId="10" fontId="4" fillId="0" borderId="74" xfId="0" applyNumberFormat="1" applyFont="1" applyBorder="1" applyAlignment="1" applyProtection="1">
      <alignment horizontal="center" vertical="center" wrapText="1"/>
    </xf>
    <xf numFmtId="10" fontId="4" fillId="0" borderId="7" xfId="0" applyNumberFormat="1" applyFont="1" applyBorder="1" applyAlignment="1" applyProtection="1">
      <alignment horizontal="center" vertical="center" wrapText="1"/>
    </xf>
    <xf numFmtId="0" fontId="5" fillId="0" borderId="62" xfId="0" applyFont="1" applyBorder="1" applyAlignment="1" applyProtection="1">
      <alignment horizontal="center"/>
      <protection hidden="1"/>
    </xf>
    <xf numFmtId="0" fontId="5" fillId="0" borderId="63" xfId="0" applyFont="1" applyBorder="1" applyAlignment="1" applyProtection="1">
      <alignment horizontal="center"/>
      <protection hidden="1"/>
    </xf>
    <xf numFmtId="173" fontId="5" fillId="0" borderId="63" xfId="0" applyNumberFormat="1" applyFont="1" applyBorder="1" applyAlignment="1" applyProtection="1">
      <alignment horizontal="center"/>
      <protection hidden="1"/>
    </xf>
    <xf numFmtId="0" fontId="5" fillId="0" borderId="61" xfId="0" applyFont="1" applyBorder="1" applyAlignment="1" applyProtection="1">
      <alignment horizontal="center"/>
      <protection hidden="1"/>
    </xf>
    <xf numFmtId="0" fontId="4" fillId="0" borderId="54" xfId="0" applyFont="1" applyBorder="1" applyAlignment="1" applyProtection="1">
      <alignment horizontal="center" vertical="center"/>
      <protection hidden="1"/>
    </xf>
    <xf numFmtId="0" fontId="4" fillId="0" borderId="55" xfId="0" applyFont="1" applyBorder="1" applyAlignment="1" applyProtection="1">
      <alignment horizontal="center" vertical="center"/>
      <protection hidden="1"/>
    </xf>
    <xf numFmtId="14" fontId="0" fillId="0" borderId="46" xfId="0" applyNumberFormat="1" applyFill="1" applyBorder="1" applyAlignment="1" applyProtection="1">
      <alignment horizontal="center" vertical="center"/>
      <protection hidden="1"/>
    </xf>
    <xf numFmtId="0" fontId="0" fillId="0" borderId="47" xfId="0" applyBorder="1" applyProtection="1">
      <protection hidden="1"/>
    </xf>
    <xf numFmtId="0" fontId="0" fillId="0" borderId="48" xfId="0" applyBorder="1" applyProtection="1">
      <protection hidden="1"/>
    </xf>
    <xf numFmtId="0" fontId="0" fillId="0" borderId="49" xfId="0" applyBorder="1" applyProtection="1">
      <protection hidden="1"/>
    </xf>
    <xf numFmtId="0" fontId="0" fillId="0" borderId="0" xfId="0" applyProtection="1">
      <protection hidden="1"/>
    </xf>
    <xf numFmtId="0" fontId="0" fillId="0" borderId="50" xfId="0" applyBorder="1" applyProtection="1">
      <protection hidden="1"/>
    </xf>
    <xf numFmtId="0" fontId="0" fillId="0" borderId="51" xfId="0" applyBorder="1" applyProtection="1">
      <protection hidden="1"/>
    </xf>
    <xf numFmtId="0" fontId="0" fillId="0" borderId="52" xfId="0" applyBorder="1" applyProtection="1">
      <protection hidden="1"/>
    </xf>
    <xf numFmtId="0" fontId="0" fillId="0" borderId="53" xfId="0" applyBorder="1" applyProtection="1">
      <protection hidden="1"/>
    </xf>
    <xf numFmtId="0" fontId="5" fillId="0" borderId="62" xfId="0" applyFont="1" applyBorder="1" applyAlignment="1" applyProtection="1">
      <alignment horizontal="left"/>
      <protection hidden="1"/>
    </xf>
    <xf numFmtId="0" fontId="5" fillId="0" borderId="63" xfId="0" applyFont="1" applyBorder="1" applyAlignment="1" applyProtection="1">
      <alignment horizontal="left"/>
      <protection hidden="1"/>
    </xf>
    <xf numFmtId="0" fontId="0" fillId="0" borderId="46" xfId="0" applyBorder="1" applyAlignment="1" applyProtection="1">
      <alignment horizontal="center"/>
      <protection hidden="1"/>
    </xf>
    <xf numFmtId="0" fontId="0" fillId="0" borderId="47" xfId="0" applyBorder="1" applyAlignment="1" applyProtection="1">
      <alignment horizontal="center"/>
      <protection hidden="1"/>
    </xf>
    <xf numFmtId="0" fontId="0" fillId="0" borderId="51" xfId="0" applyBorder="1" applyAlignment="1" applyProtection="1">
      <alignment horizontal="center"/>
      <protection hidden="1"/>
    </xf>
    <xf numFmtId="0" fontId="0" fillId="0" borderId="52" xfId="0" applyBorder="1" applyAlignment="1" applyProtection="1">
      <alignment horizontal="center"/>
      <protection hidden="1"/>
    </xf>
    <xf numFmtId="0" fontId="0" fillId="0" borderId="62" xfId="0" applyBorder="1" applyAlignment="1" applyProtection="1">
      <alignment horizontal="left"/>
      <protection hidden="1"/>
    </xf>
    <xf numFmtId="0" fontId="0" fillId="0" borderId="61" xfId="0" applyBorder="1" applyAlignment="1" applyProtection="1">
      <alignment horizontal="left"/>
      <protection hidden="1"/>
    </xf>
    <xf numFmtId="0" fontId="4" fillId="0" borderId="57" xfId="0" applyFont="1" applyBorder="1" applyAlignment="1" applyProtection="1">
      <alignment horizontal="center"/>
      <protection hidden="1"/>
    </xf>
    <xf numFmtId="0" fontId="4" fillId="0" borderId="107" xfId="0" applyFont="1" applyBorder="1" applyAlignment="1" applyProtection="1">
      <alignment horizontal="center"/>
      <protection hidden="1"/>
    </xf>
    <xf numFmtId="0" fontId="4" fillId="0" borderId="58" xfId="0" applyFont="1" applyBorder="1" applyAlignment="1" applyProtection="1">
      <alignment horizontal="center"/>
      <protection hidden="1"/>
    </xf>
    <xf numFmtId="0" fontId="4" fillId="0" borderId="108" xfId="0" applyFont="1" applyBorder="1" applyAlignment="1" applyProtection="1">
      <alignment horizontal="center"/>
      <protection hidden="1"/>
    </xf>
    <xf numFmtId="0" fontId="4" fillId="0" borderId="62" xfId="0" applyFont="1" applyBorder="1" applyAlignment="1" applyProtection="1">
      <alignment horizontal="center"/>
      <protection hidden="1"/>
    </xf>
    <xf numFmtId="0" fontId="4" fillId="0" borderId="63" xfId="0" applyFont="1" applyBorder="1" applyAlignment="1" applyProtection="1">
      <alignment horizontal="center"/>
      <protection hidden="1"/>
    </xf>
    <xf numFmtId="0" fontId="4" fillId="0" borderId="61" xfId="0" applyFont="1" applyBorder="1" applyAlignment="1" applyProtection="1">
      <alignment horizontal="center"/>
      <protection hidden="1"/>
    </xf>
    <xf numFmtId="0" fontId="11" fillId="0" borderId="62" xfId="0" applyFont="1" applyBorder="1" applyAlignment="1" applyProtection="1">
      <alignment horizontal="center"/>
      <protection hidden="1"/>
    </xf>
    <xf numFmtId="0" fontId="11" fillId="0" borderId="61" xfId="0" applyFont="1" applyBorder="1" applyAlignment="1" applyProtection="1">
      <alignment horizontal="center"/>
      <protection hidden="1"/>
    </xf>
    <xf numFmtId="0" fontId="13" fillId="2" borderId="0" xfId="0" applyFont="1" applyFill="1" applyAlignment="1" applyProtection="1">
      <alignment horizontal="center"/>
      <protection hidden="1"/>
    </xf>
    <xf numFmtId="0" fontId="14" fillId="0" borderId="24" xfId="0" applyFont="1" applyBorder="1" applyAlignment="1" applyProtection="1">
      <alignment horizontal="center" vertical="justify"/>
      <protection hidden="1"/>
    </xf>
    <xf numFmtId="0" fontId="14" fillId="0" borderId="18" xfId="0" applyFont="1" applyBorder="1" applyAlignment="1" applyProtection="1">
      <alignment horizontal="center" vertical="justify"/>
      <protection hidden="1"/>
    </xf>
    <xf numFmtId="0" fontId="14" fillId="0" borderId="49" xfId="0" applyFont="1" applyBorder="1" applyAlignment="1" applyProtection="1">
      <alignment horizontal="center" vertical="justify"/>
      <protection hidden="1"/>
    </xf>
    <xf numFmtId="0" fontId="14" fillId="0" borderId="109" xfId="0" applyFont="1" applyBorder="1" applyAlignment="1" applyProtection="1">
      <alignment horizontal="center" vertical="justify"/>
      <protection hidden="1"/>
    </xf>
    <xf numFmtId="22" fontId="12" fillId="0" borderId="0" xfId="0" applyNumberFormat="1" applyFont="1" applyAlignment="1" applyProtection="1">
      <alignment horizontal="center"/>
      <protection hidden="1"/>
    </xf>
    <xf numFmtId="22" fontId="11" fillId="0" borderId="47" xfId="0" applyNumberFormat="1" applyFont="1" applyBorder="1" applyAlignment="1" applyProtection="1">
      <alignment horizontal="center"/>
      <protection hidden="1"/>
    </xf>
    <xf numFmtId="22" fontId="11" fillId="0" borderId="48" xfId="0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48" xfId="0" applyBorder="1" applyAlignment="1" applyProtection="1">
      <alignment horizontal="center"/>
      <protection hidden="1"/>
    </xf>
    <xf numFmtId="0" fontId="0" fillId="0" borderId="53" xfId="0" applyBorder="1" applyAlignment="1" applyProtection="1">
      <alignment horizontal="center"/>
      <protection hidden="1"/>
    </xf>
    <xf numFmtId="0" fontId="11" fillId="0" borderId="63" xfId="0" applyFont="1" applyBorder="1" applyAlignment="1" applyProtection="1">
      <alignment horizontal="center"/>
      <protection hidden="1"/>
    </xf>
    <xf numFmtId="0" fontId="27" fillId="12" borderId="8" xfId="0" applyFont="1" applyFill="1" applyBorder="1" applyAlignment="1">
      <alignment horizontal="center" vertical="center"/>
    </xf>
    <xf numFmtId="0" fontId="27" fillId="12" borderId="0" xfId="0" applyFont="1" applyFill="1" applyBorder="1" applyAlignment="1">
      <alignment horizontal="center" vertical="center"/>
    </xf>
    <xf numFmtId="0" fontId="4" fillId="16" borderId="15" xfId="0" applyFont="1" applyFill="1" applyBorder="1" applyAlignment="1">
      <alignment horizontal="center" vertical="center"/>
    </xf>
    <xf numFmtId="0" fontId="4" fillId="16" borderId="74" xfId="0" applyFont="1" applyFill="1" applyBorder="1" applyAlignment="1">
      <alignment horizontal="center" vertical="center"/>
    </xf>
    <xf numFmtId="0" fontId="4" fillId="16" borderId="7" xfId="0" applyFont="1" applyFill="1" applyBorder="1" applyAlignment="1">
      <alignment horizontal="center" vertical="center"/>
    </xf>
    <xf numFmtId="0" fontId="4" fillId="2" borderId="97" xfId="0" applyFont="1" applyFill="1" applyBorder="1" applyAlignment="1">
      <alignment horizontal="center" vertical="center"/>
    </xf>
    <xf numFmtId="0" fontId="4" fillId="2" borderId="98" xfId="0" applyFont="1" applyFill="1" applyBorder="1" applyAlignment="1">
      <alignment horizontal="center" vertical="center"/>
    </xf>
    <xf numFmtId="0" fontId="4" fillId="2" borderId="9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7" fontId="0" fillId="0" borderId="5" xfId="10" applyFont="1" applyBorder="1" applyAlignment="1">
      <alignment vertical="center"/>
    </xf>
    <xf numFmtId="167" fontId="0" fillId="0" borderId="6" xfId="10" applyFont="1" applyBorder="1" applyAlignment="1">
      <alignment vertical="center"/>
    </xf>
    <xf numFmtId="167" fontId="0" fillId="0" borderId="9" xfId="10" applyFont="1" applyBorder="1" applyAlignment="1">
      <alignment vertical="center"/>
    </xf>
    <xf numFmtId="167" fontId="0" fillId="11" borderId="5" xfId="10" applyFont="1" applyFill="1" applyBorder="1" applyAlignment="1">
      <alignment vertical="center"/>
    </xf>
    <xf numFmtId="0" fontId="0" fillId="0" borderId="6" xfId="0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</cellXfs>
  <cellStyles count="13">
    <cellStyle name="Euro" xfId="1"/>
    <cellStyle name="Moeda" xfId="2" builtinId="4"/>
    <cellStyle name="Moeda 2" xfId="12"/>
    <cellStyle name="Normal" xfId="0" builtinId="0"/>
    <cellStyle name="Normal 2" xfId="3"/>
    <cellStyle name="Porcentagem" xfId="4" builtinId="5"/>
    <cellStyle name="Porcentagem 2" xfId="5"/>
    <cellStyle name="Separador de milhares 2" xfId="6"/>
    <cellStyle name="Separador de milhares_Matriz pv" xfId="7"/>
    <cellStyle name="Separador de milhares_PV das tabelas (version 2)" xfId="8"/>
    <cellStyle name="Total" xfId="9" builtinId="25" customBuiltin="1"/>
    <cellStyle name="Vírgula" xfId="10" builtinId="3"/>
    <cellStyle name="Vírgula 2" xfId="11"/>
  </cellStyles>
  <dxfs count="24"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theme="8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indexed="1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theme="0"/>
      </font>
      <fill>
        <gradientFill degree="90">
          <stop position="0">
            <color theme="0"/>
          </stop>
          <stop position="1">
            <color rgb="FFFF0000"/>
          </stop>
        </gradient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  <fill>
        <gradientFill degree="90">
          <stop position="0">
            <color theme="0"/>
          </stop>
          <stop position="1">
            <color rgb="FFFF0000"/>
          </stop>
        </gradient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22"/>
      </font>
      <fill>
        <patternFill>
          <bgColor indexed="16"/>
        </patternFill>
      </fill>
    </dxf>
    <dxf>
      <font>
        <b/>
        <i val="0"/>
        <color rgb="FFFF0000"/>
      </font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lor theme="0"/>
      </font>
      <fill>
        <patternFill>
          <bgColor indexed="22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lor auto="1"/>
      </font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FFFFFF"/>
      <rgbColor rgb="00808080"/>
      <rgbColor rgb="00F0E0D0"/>
      <rgbColor rgb="00BDDEFF"/>
      <rgbColor rgb="00DADAE6"/>
      <rgbColor rgb="00ECECEC"/>
      <rgbColor rgb="00BCBCD2"/>
      <rgbColor rgb="00FEFAA0"/>
      <rgbColor rgb="000066CC"/>
      <rgbColor rgb="00DDDD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4B4B4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0099"/>
      <color rgb="FFB3FFFF"/>
      <color rgb="FF66FFFF"/>
      <color rgb="FFEFFDFF"/>
      <color rgb="FF00FFFF"/>
      <color rgb="FFCC0099"/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36802</xdr:colOff>
      <xdr:row>2</xdr:row>
      <xdr:rowOff>233795</xdr:rowOff>
    </xdr:from>
    <xdr:to>
      <xdr:col>4</xdr:col>
      <xdr:colOff>649431</xdr:colOff>
      <xdr:row>7</xdr:row>
      <xdr:rowOff>54554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4257" y="926522"/>
          <a:ext cx="3729901" cy="1500623"/>
        </a:xfrm>
        <a:prstGeom prst="rect">
          <a:avLst/>
        </a:prstGeom>
        <a:solidFill>
          <a:srgbClr val="CC3399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3</xdr:row>
          <xdr:rowOff>76200</xdr:rowOff>
        </xdr:from>
        <xdr:to>
          <xdr:col>14</xdr:col>
          <xdr:colOff>571500</xdr:colOff>
          <xdr:row>5</xdr:row>
          <xdr:rowOff>47625</xdr:rowOff>
        </xdr:to>
        <xdr:sp macro="" textlink="">
          <xdr:nvSpPr>
            <xdr:cNvPr id="14338" name="Button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pt-BR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Estudo</a:t>
              </a:r>
            </a:p>
            <a:p>
              <a:pPr algn="ctr" rtl="0">
                <a:defRPr sz="1000"/>
              </a:pPr>
              <a:r>
                <a:rPr lang="pt-BR" sz="8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Ctrl + Shift + C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114300</xdr:colOff>
          <xdr:row>5</xdr:row>
          <xdr:rowOff>152400</xdr:rowOff>
        </xdr:from>
        <xdr:to>
          <xdr:col>14</xdr:col>
          <xdr:colOff>561975</xdr:colOff>
          <xdr:row>7</xdr:row>
          <xdr:rowOff>142875</xdr:rowOff>
        </xdr:to>
        <xdr:sp macro="" textlink="">
          <xdr:nvSpPr>
            <xdr:cNvPr id="14339" name="Button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pt-BR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Completo</a:t>
              </a:r>
            </a:p>
            <a:p>
              <a:pPr algn="ctr" rtl="0">
                <a:defRPr sz="1000"/>
              </a:pPr>
              <a:r>
                <a:rPr lang="pt-BR" sz="8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Ctrl + Shift + P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tabColor rgb="FF00B050"/>
    <pageSetUpPr fitToPage="1"/>
  </sheetPr>
  <dimension ref="B1:CU783"/>
  <sheetViews>
    <sheetView showGridLines="0" showRowColHeaders="0" tabSelected="1" showOutlineSymbols="0" zoomScale="40" zoomScaleNormal="40" zoomScaleSheetLayoutView="55" workbookViewId="0">
      <selection activeCell="DU35" sqref="DU35"/>
    </sheetView>
  </sheetViews>
  <sheetFormatPr defaultColWidth="10.7109375" defaultRowHeight="12.75" zeroHeight="1" x14ac:dyDescent="0.2"/>
  <cols>
    <col min="1" max="2" width="10.7109375" style="399" customWidth="1"/>
    <col min="3" max="3" width="10.85546875" style="399" customWidth="1"/>
    <col min="4" max="4" width="46.7109375" style="399" customWidth="1"/>
    <col min="5" max="5" width="20.5703125" style="399" customWidth="1"/>
    <col min="6" max="6" width="16.85546875" style="399" customWidth="1"/>
    <col min="7" max="7" width="41.28515625" style="399" bestFit="1" customWidth="1"/>
    <col min="8" max="8" width="31.5703125" style="399" customWidth="1"/>
    <col min="9" max="9" width="16.42578125" style="399" customWidth="1"/>
    <col min="10" max="10" width="14" style="399" customWidth="1"/>
    <col min="11" max="11" width="20.5703125" style="399" customWidth="1"/>
    <col min="12" max="12" width="51.85546875" style="399" bestFit="1" customWidth="1"/>
    <col min="13" max="13" width="9.28515625" style="399" customWidth="1"/>
    <col min="14" max="14" width="10.85546875" style="399" customWidth="1"/>
    <col min="15" max="15" width="19.140625" style="399" customWidth="1"/>
    <col min="16" max="16" width="3.140625" style="399" customWidth="1"/>
    <col min="17" max="17" width="20.140625" style="399" customWidth="1"/>
    <col min="18" max="18" width="13.7109375" style="399" customWidth="1"/>
    <col min="19" max="19" width="30.140625" style="399" customWidth="1"/>
    <col min="20" max="20" width="1.85546875" style="399" customWidth="1"/>
    <col min="21" max="21" width="2.42578125" style="399" customWidth="1"/>
    <col min="22" max="22" width="10.28515625" style="399" customWidth="1"/>
    <col min="23" max="23" width="23.85546875" style="399" hidden="1" customWidth="1"/>
    <col min="24" max="24" width="23.7109375" style="399" hidden="1" customWidth="1"/>
    <col min="25" max="25" width="18.42578125" style="399" hidden="1" customWidth="1"/>
    <col min="26" max="26" width="5.42578125" style="399" hidden="1" customWidth="1"/>
    <col min="27" max="27" width="35.85546875" style="399" hidden="1" customWidth="1"/>
    <col min="28" max="28" width="12.5703125" style="399" hidden="1" customWidth="1"/>
    <col min="29" max="35" width="9.140625" style="399" hidden="1" customWidth="1"/>
    <col min="36" max="36" width="11.140625" style="399" hidden="1" customWidth="1"/>
    <col min="37" max="41" width="9.140625" style="399" hidden="1" customWidth="1"/>
    <col min="42" max="42" width="13.140625" style="399" hidden="1" customWidth="1"/>
    <col min="43" max="79" width="9.140625" style="399" hidden="1" customWidth="1"/>
    <col min="80" max="80" width="47.42578125" style="399" hidden="1" customWidth="1"/>
    <col min="81" max="81" width="14.5703125" style="399" hidden="1" customWidth="1"/>
    <col min="82" max="82" width="18.28515625" style="399" hidden="1" customWidth="1"/>
    <col min="83" max="83" width="20.5703125" style="399" hidden="1" customWidth="1"/>
    <col min="84" max="86" width="9.140625" style="399" hidden="1" customWidth="1"/>
    <col min="87" max="87" width="14" style="399" hidden="1" customWidth="1"/>
    <col min="88" max="91" width="9.140625" style="399" hidden="1" customWidth="1"/>
    <col min="92" max="92" width="10.7109375" style="401" hidden="1" customWidth="1"/>
    <col min="93" max="93" width="25.7109375" style="399" hidden="1" customWidth="1"/>
    <col min="94" max="94" width="20" style="399" hidden="1" customWidth="1"/>
    <col min="95" max="95" width="13.85546875" style="763" hidden="1" customWidth="1"/>
    <col min="96" max="96" width="13.140625" style="399" hidden="1" customWidth="1"/>
    <col min="97" max="97" width="12.42578125" style="399" hidden="1" customWidth="1"/>
    <col min="98" max="98" width="11" style="399" hidden="1" customWidth="1"/>
    <col min="99" max="123" width="0" style="399" hidden="1" customWidth="1"/>
    <col min="124" max="16384" width="10.7109375" style="399"/>
  </cols>
  <sheetData>
    <row r="1" spans="2:95" ht="22.5" customHeight="1" thickBot="1" x14ac:dyDescent="0.25">
      <c r="V1" s="431"/>
      <c r="W1" s="431"/>
    </row>
    <row r="2" spans="2:95" ht="30.75" customHeight="1" x14ac:dyDescent="0.2">
      <c r="B2" s="643"/>
      <c r="C2" s="625"/>
      <c r="D2" s="625"/>
      <c r="E2" s="625"/>
      <c r="F2" s="625"/>
      <c r="G2" s="625"/>
      <c r="H2" s="625"/>
      <c r="I2" s="625"/>
      <c r="J2" s="625"/>
      <c r="K2" s="625"/>
      <c r="L2" s="625"/>
      <c r="M2" s="625"/>
      <c r="N2" s="625"/>
      <c r="O2" s="625"/>
      <c r="P2" s="625"/>
      <c r="Q2" s="625"/>
      <c r="R2" s="625"/>
      <c r="S2" s="625"/>
      <c r="T2" s="625"/>
      <c r="U2" s="625"/>
      <c r="V2" s="621"/>
    </row>
    <row r="3" spans="2:95" ht="74.25" customHeight="1" x14ac:dyDescent="0.2">
      <c r="B3" s="621"/>
      <c r="C3" s="431"/>
      <c r="D3" s="431"/>
      <c r="E3" s="644"/>
      <c r="F3" s="431"/>
      <c r="G3" s="431"/>
      <c r="H3" s="758" t="s">
        <v>739</v>
      </c>
      <c r="I3" s="400"/>
      <c r="J3" s="400"/>
      <c r="K3" s="400"/>
      <c r="L3" s="400"/>
      <c r="M3" s="400"/>
      <c r="N3" s="400"/>
      <c r="O3" s="431"/>
      <c r="P3" s="431"/>
      <c r="Q3" s="431"/>
      <c r="R3" s="431"/>
      <c r="S3" s="559"/>
      <c r="T3" s="584"/>
      <c r="U3" s="584"/>
      <c r="V3" s="621"/>
      <c r="W3" s="584"/>
      <c r="X3" s="584"/>
      <c r="Y3" s="584"/>
    </row>
    <row r="4" spans="2:95" ht="9.75" customHeight="1" x14ac:dyDescent="0.2">
      <c r="B4" s="621"/>
      <c r="C4" s="1042"/>
      <c r="D4" s="431"/>
      <c r="E4" s="431"/>
      <c r="F4" s="645"/>
      <c r="G4" s="431"/>
      <c r="H4" s="559"/>
      <c r="I4" s="559"/>
      <c r="J4" s="559"/>
      <c r="K4" s="559"/>
      <c r="L4" s="559"/>
      <c r="M4" s="559"/>
      <c r="N4" s="559"/>
      <c r="O4" s="431"/>
      <c r="P4" s="431"/>
      <c r="Q4" s="646"/>
      <c r="R4" s="646"/>
      <c r="S4" s="646"/>
      <c r="T4" s="403"/>
      <c r="U4" s="403"/>
      <c r="V4" s="621"/>
      <c r="W4" s="403"/>
      <c r="X4" s="403"/>
      <c r="Y4" s="403"/>
    </row>
    <row r="5" spans="2:95" ht="36" hidden="1" customHeight="1" x14ac:dyDescent="0.2">
      <c r="B5" s="621"/>
      <c r="C5" s="1042"/>
      <c r="D5" s="412"/>
      <c r="E5" s="412"/>
      <c r="F5" s="412"/>
      <c r="G5" s="412"/>
      <c r="H5" s="412"/>
      <c r="I5" s="412"/>
      <c r="J5" s="647">
        <f>IF(H6="ÚNICO SUZANO - TORRE 5",1,IF(H6="ÚNICO SUZANO - FASE 2 - TORRES 4 e 6",1,0))</f>
        <v>0</v>
      </c>
      <c r="K5" s="412"/>
      <c r="L5" s="412"/>
      <c r="M5" s="412"/>
      <c r="N5" s="412"/>
      <c r="O5" s="412"/>
      <c r="P5" s="412"/>
      <c r="Q5" s="412"/>
      <c r="R5" s="412"/>
      <c r="S5" s="412"/>
      <c r="T5" s="412"/>
      <c r="U5" s="431"/>
      <c r="V5" s="621"/>
    </row>
    <row r="6" spans="2:95" ht="30" customHeight="1" x14ac:dyDescent="0.2">
      <c r="B6" s="621"/>
      <c r="C6" s="1042"/>
      <c r="D6" s="412"/>
      <c r="E6" s="412"/>
      <c r="F6" s="412"/>
      <c r="G6" s="412"/>
      <c r="H6" s="558"/>
      <c r="I6" s="558"/>
      <c r="J6" s="558"/>
      <c r="K6" s="558"/>
      <c r="L6" s="558"/>
      <c r="M6" s="1043" t="str">
        <f>IF(AND('Premissas e Calculos'!J11*(1-'Premissas e Calculos'!G29)&lt;='Premissas e Calculos'!J3,'Premissas e Calculos'!J13&lt;='Premissas e Calculos'!J3),"PMCMV","Imóvel fora do PMCMV")</f>
        <v>PMCMV</v>
      </c>
      <c r="N6" s="1043"/>
      <c r="O6" s="1043"/>
      <c r="P6" s="404"/>
      <c r="Q6" s="431"/>
      <c r="R6" s="431"/>
      <c r="S6" s="431"/>
      <c r="T6" s="412"/>
      <c r="U6" s="431"/>
      <c r="V6" s="621"/>
      <c r="BU6" s="405"/>
      <c r="BV6" s="405" t="s">
        <v>101</v>
      </c>
      <c r="CB6" s="1039" t="str">
        <f>Apoio!B1</f>
        <v>Planilha de resposta do empreendimento escolhido</v>
      </c>
      <c r="CC6" s="1040"/>
      <c r="CD6" s="1040"/>
      <c r="CE6" s="1041"/>
    </row>
    <row r="7" spans="2:95" ht="18.75" customHeight="1" thickBot="1" x14ac:dyDescent="0.25">
      <c r="B7" s="621"/>
      <c r="C7" s="1042"/>
      <c r="D7" s="412"/>
      <c r="E7" s="412"/>
      <c r="F7" s="412"/>
      <c r="G7" s="412"/>
      <c r="H7" s="648" t="s">
        <v>255</v>
      </c>
      <c r="I7" s="412"/>
      <c r="J7" s="412"/>
      <c r="K7" s="431"/>
      <c r="L7" s="431"/>
      <c r="M7" s="683"/>
      <c r="N7" s="651"/>
      <c r="O7" s="651"/>
      <c r="P7" s="412"/>
      <c r="Q7" s="412"/>
      <c r="R7" s="412"/>
      <c r="S7" s="412"/>
      <c r="T7" s="412"/>
      <c r="U7" s="431"/>
      <c r="V7" s="621"/>
      <c r="BU7" s="405">
        <v>1</v>
      </c>
      <c r="BV7" s="407" t="str">
        <f>'Premissas e Calculos'!AA2</f>
        <v>SELLER</v>
      </c>
      <c r="CB7" s="737" t="str">
        <f>Apoio!B2</f>
        <v>Código Empreendimento</v>
      </c>
      <c r="CC7" s="408">
        <f>Apoio!C2</f>
        <v>0</v>
      </c>
      <c r="CD7" s="408">
        <f>Apoio!D2</f>
        <v>3</v>
      </c>
      <c r="CE7" s="409">
        <f>Apoio!E2</f>
        <v>0</v>
      </c>
    </row>
    <row r="8" spans="2:95" ht="57.75" customHeight="1" thickTop="1" thickBot="1" x14ac:dyDescent="0.25">
      <c r="B8" s="621"/>
      <c r="C8" s="1042"/>
      <c r="D8" s="412"/>
      <c r="E8" s="412"/>
      <c r="F8" s="431"/>
      <c r="G8" s="431"/>
      <c r="H8" s="698" t="s">
        <v>256</v>
      </c>
      <c r="I8" s="410"/>
      <c r="J8" s="410"/>
      <c r="K8" s="431"/>
      <c r="L8" s="649" t="s">
        <v>138</v>
      </c>
      <c r="M8" s="1044">
        <f>VLOOKUP(H8,Apoio!C:E,2,0)</f>
        <v>215530</v>
      </c>
      <c r="N8" s="1045"/>
      <c r="O8" s="1046"/>
      <c r="P8" s="412"/>
      <c r="Q8" s="412"/>
      <c r="R8" s="431"/>
      <c r="S8" s="431"/>
      <c r="T8" s="412"/>
      <c r="U8" s="431"/>
      <c r="V8" s="621"/>
      <c r="W8" s="584"/>
      <c r="BU8" s="405">
        <v>2</v>
      </c>
      <c r="BV8" s="407" t="str">
        <f>'Premissas e Calculos'!AA3</f>
        <v>I.NOVA</v>
      </c>
      <c r="CB8" s="411" t="str">
        <f>Apoio!B3</f>
        <v>Empreendimento:</v>
      </c>
      <c r="CC8" s="408">
        <f>Apoio!C3</f>
        <v>0</v>
      </c>
      <c r="CD8" s="1047">
        <f>Apoio!D3</f>
        <v>0</v>
      </c>
      <c r="CE8" s="1048"/>
    </row>
    <row r="9" spans="2:95" ht="9.9499999999999993" customHeight="1" thickTop="1" x14ac:dyDescent="0.2">
      <c r="B9" s="621"/>
      <c r="C9" s="1042"/>
      <c r="D9" s="412"/>
      <c r="E9" s="412"/>
      <c r="F9" s="650"/>
      <c r="G9" s="649"/>
      <c r="H9" s="651"/>
      <c r="I9" s="652"/>
      <c r="J9" s="652"/>
      <c r="K9" s="652"/>
      <c r="L9" s="412"/>
      <c r="M9" s="651"/>
      <c r="N9" s="651"/>
      <c r="O9" s="651"/>
      <c r="P9" s="413"/>
      <c r="Q9" s="412"/>
      <c r="R9" s="412"/>
      <c r="S9" s="412"/>
      <c r="T9" s="412"/>
      <c r="U9" s="431"/>
      <c r="V9" s="621"/>
      <c r="BU9" s="405">
        <v>3</v>
      </c>
      <c r="BV9" s="407" t="e">
        <f>'Premissas e Calculos'!#REF!</f>
        <v>#REF!</v>
      </c>
      <c r="CB9" s="737" t="str">
        <f>Apoio!B4</f>
        <v>Valor Máximo Do Imóvel dentro do Pacote</v>
      </c>
      <c r="CC9" s="408">
        <f>Apoio!C4</f>
        <v>0</v>
      </c>
      <c r="CD9" s="399">
        <f>Apoio!D4</f>
        <v>0</v>
      </c>
      <c r="CE9" s="414">
        <f>Apoio!E4</f>
        <v>240000</v>
      </c>
    </row>
    <row r="10" spans="2:95" ht="24.75" customHeight="1" x14ac:dyDescent="0.2">
      <c r="B10" s="621"/>
      <c r="C10" s="1042"/>
      <c r="D10" s="753" t="s">
        <v>379</v>
      </c>
      <c r="E10" s="412"/>
      <c r="F10" s="650"/>
      <c r="G10" s="649" t="s">
        <v>141</v>
      </c>
      <c r="H10" s="754">
        <f ca="1">TODAY()</f>
        <v>43802</v>
      </c>
      <c r="I10" s="428"/>
      <c r="J10" s="652"/>
      <c r="K10" s="431"/>
      <c r="L10" s="431"/>
      <c r="M10" s="683"/>
      <c r="N10" s="683"/>
      <c r="O10" s="683"/>
      <c r="P10" s="413"/>
      <c r="Q10" s="412"/>
      <c r="R10" s="412"/>
      <c r="S10" s="412"/>
      <c r="T10" s="412"/>
      <c r="U10" s="431"/>
      <c r="V10" s="621"/>
      <c r="W10" s="586" t="s">
        <v>242</v>
      </c>
      <c r="BU10" s="405"/>
      <c r="BV10" s="407"/>
      <c r="CB10" s="737"/>
      <c r="CC10" s="415"/>
      <c r="CE10" s="416"/>
    </row>
    <row r="11" spans="2:95" ht="9.75" customHeight="1" thickBot="1" x14ac:dyDescent="0.25">
      <c r="B11" s="621"/>
      <c r="C11" s="1042"/>
      <c r="D11" s="653"/>
      <c r="E11" s="412"/>
      <c r="F11" s="650"/>
      <c r="G11" s="649"/>
      <c r="H11" s="651"/>
      <c r="I11" s="652"/>
      <c r="J11" s="652"/>
      <c r="K11" s="652"/>
      <c r="L11" s="412"/>
      <c r="M11" s="654"/>
      <c r="N11" s="654"/>
      <c r="O11" s="654"/>
      <c r="P11" s="413"/>
      <c r="Q11" s="412"/>
      <c r="R11" s="412"/>
      <c r="S11" s="412"/>
      <c r="T11" s="412"/>
      <c r="U11" s="431"/>
      <c r="V11" s="621"/>
      <c r="BU11" s="405"/>
      <c r="BV11" s="407"/>
      <c r="CB11" s="737"/>
      <c r="CC11" s="415"/>
      <c r="CE11" s="416"/>
    </row>
    <row r="12" spans="2:95" ht="24.75" customHeight="1" thickBot="1" x14ac:dyDescent="0.25">
      <c r="B12" s="621"/>
      <c r="C12" s="1042"/>
      <c r="D12" s="755" t="s">
        <v>380</v>
      </c>
      <c r="E12" s="412"/>
      <c r="F12" s="431"/>
      <c r="G12" s="649" t="s">
        <v>89</v>
      </c>
      <c r="H12" s="752"/>
      <c r="I12" s="756"/>
      <c r="J12" s="431"/>
      <c r="K12" s="410"/>
      <c r="L12" s="649" t="s">
        <v>137</v>
      </c>
      <c r="M12" s="770" t="s">
        <v>250</v>
      </c>
      <c r="N12" s="770"/>
      <c r="O12" s="770"/>
      <c r="P12" s="413"/>
      <c r="Q12" s="431"/>
      <c r="R12" s="431"/>
      <c r="S12" s="431"/>
      <c r="T12" s="412"/>
      <c r="U12" s="431"/>
      <c r="V12" s="621"/>
      <c r="W12" s="641" t="s">
        <v>198</v>
      </c>
      <c r="X12" s="585">
        <f ca="1">'Premissas e Calculos'!G38</f>
        <v>43830</v>
      </c>
      <c r="BU12" s="405">
        <v>4</v>
      </c>
      <c r="BV12" s="407" t="e">
        <f>'Premissas e Calculos'!#REF!</f>
        <v>#REF!</v>
      </c>
      <c r="CB12" s="1039" t="str">
        <f>Apoio!B5</f>
        <v>Tabela de Unidades disponíveis</v>
      </c>
      <c r="CC12" s="1040"/>
      <c r="CD12" s="1040"/>
      <c r="CE12" s="1041"/>
      <c r="CO12" s="417" t="s">
        <v>100</v>
      </c>
      <c r="CP12" s="417" t="s">
        <v>101</v>
      </c>
      <c r="CQ12" s="763" t="s">
        <v>3</v>
      </c>
    </row>
    <row r="13" spans="2:95" ht="9.9499999999999993" customHeight="1" x14ac:dyDescent="0.2">
      <c r="B13" s="621"/>
      <c r="C13" s="1042"/>
      <c r="D13" s="431"/>
      <c r="E13" s="412"/>
      <c r="F13" s="431"/>
      <c r="G13" s="650"/>
      <c r="H13" s="655"/>
      <c r="I13" s="428"/>
      <c r="J13" s="428"/>
      <c r="K13" s="428"/>
      <c r="L13" s="649"/>
      <c r="M13" s="651"/>
      <c r="N13" s="651"/>
      <c r="O13" s="651"/>
      <c r="P13" s="413"/>
      <c r="Q13" s="412"/>
      <c r="R13" s="412"/>
      <c r="S13" s="412"/>
      <c r="T13" s="412"/>
      <c r="U13" s="431"/>
      <c r="V13" s="621"/>
      <c r="BU13" s="405">
        <v>5</v>
      </c>
      <c r="BV13" s="407" t="e">
        <f>'Premissas e Calculos'!#REF!</f>
        <v>#REF!</v>
      </c>
      <c r="CB13" s="1056">
        <f>Apoio!B6</f>
        <v>0</v>
      </c>
      <c r="CC13" s="418" t="str">
        <f>Apoio!C6</f>
        <v>Código Tipo</v>
      </c>
      <c r="CD13" s="419" t="str">
        <f>Apoio!D6</f>
        <v>Código Venda</v>
      </c>
      <c r="CE13" s="419" t="str">
        <f>Apoio!E6</f>
        <v>Código Avaliação</v>
      </c>
      <c r="CO13" s="417"/>
      <c r="CP13" s="417"/>
    </row>
    <row r="14" spans="2:95" ht="26.25" customHeight="1" x14ac:dyDescent="0.2">
      <c r="B14" s="621"/>
      <c r="C14" s="1042"/>
      <c r="D14" s="656" t="str">
        <f ca="1">IF(H10&gt;X12,"Simulador inválido e bloqueado, solicitar versão atualizada para a secretaria de vendas VIVAZ!","")</f>
        <v/>
      </c>
      <c r="E14" s="412"/>
      <c r="F14" s="431"/>
      <c r="G14" s="649" t="s">
        <v>233</v>
      </c>
      <c r="H14" s="752"/>
      <c r="I14" s="756"/>
      <c r="J14" s="756"/>
      <c r="K14" s="431"/>
      <c r="L14" s="649" t="s">
        <v>48</v>
      </c>
      <c r="M14" s="771">
        <f>'DADOS DOS EMPREENDIMENTOS'!K10</f>
        <v>44682</v>
      </c>
      <c r="N14" s="771"/>
      <c r="O14" s="771"/>
      <c r="P14" s="413"/>
      <c r="Q14" s="431"/>
      <c r="R14" s="431"/>
      <c r="S14" s="431"/>
      <c r="T14" s="412"/>
      <c r="U14" s="431"/>
      <c r="V14" s="621"/>
      <c r="W14" s="642">
        <f>IF($H$3="TABELA PRICE",0,1)</f>
        <v>1</v>
      </c>
      <c r="X14" s="587">
        <f>IF(I3="TABELA PRICE",0,1)</f>
        <v>1</v>
      </c>
      <c r="Y14" s="402" t="s">
        <v>739</v>
      </c>
      <c r="AB14" s="440">
        <f>0.03*M8</f>
        <v>6465.9</v>
      </c>
      <c r="BU14" s="405">
        <v>6</v>
      </c>
      <c r="BV14" s="407" t="e">
        <f>'Premissas e Calculos'!#REF!</f>
        <v>#REF!</v>
      </c>
      <c r="CB14" s="1057"/>
      <c r="CC14" s="418"/>
      <c r="CD14" s="419"/>
      <c r="CE14" s="419"/>
      <c r="CO14" s="417"/>
      <c r="CP14" s="417"/>
    </row>
    <row r="15" spans="2:95" s="420" customFormat="1" ht="15.75" customHeight="1" x14ac:dyDescent="0.2">
      <c r="B15" s="657"/>
      <c r="C15" s="428"/>
      <c r="D15" s="428"/>
      <c r="E15" s="428"/>
      <c r="F15" s="427"/>
      <c r="G15" s="427"/>
      <c r="H15" s="427"/>
      <c r="I15" s="427"/>
      <c r="J15" s="427"/>
      <c r="K15" s="427"/>
      <c r="L15" s="427"/>
      <c r="M15" s="427"/>
      <c r="N15" s="427"/>
      <c r="O15" s="427"/>
      <c r="P15" s="413"/>
      <c r="Q15" s="431"/>
      <c r="R15" s="431"/>
      <c r="S15" s="558"/>
      <c r="T15" s="428"/>
      <c r="U15" s="428"/>
      <c r="V15" s="657"/>
      <c r="W15" s="642"/>
      <c r="X15" s="587"/>
      <c r="Y15" s="402" t="s">
        <v>241</v>
      </c>
      <c r="BP15" s="422"/>
      <c r="BU15" s="423"/>
      <c r="BV15" s="424"/>
      <c r="CB15" s="425"/>
      <c r="CC15" s="426"/>
      <c r="CD15" s="426"/>
      <c r="CE15" s="426"/>
      <c r="CH15" s="1059"/>
      <c r="CI15" s="1060"/>
      <c r="CJ15" s="1061"/>
      <c r="CN15" s="429"/>
      <c r="CO15" s="430"/>
      <c r="CP15" s="430"/>
      <c r="CQ15" s="764"/>
    </row>
    <row r="16" spans="2:95" ht="37.5" customHeight="1" thickBot="1" x14ac:dyDescent="0.25">
      <c r="B16" s="621"/>
      <c r="C16" s="431"/>
      <c r="D16" s="636" t="s">
        <v>770</v>
      </c>
      <c r="E16" s="591"/>
      <c r="F16" s="591"/>
      <c r="G16" s="591"/>
      <c r="H16" s="591"/>
      <c r="I16" s="591"/>
      <c r="J16" s="591"/>
      <c r="K16" s="591"/>
      <c r="L16" s="591"/>
      <c r="M16" s="591"/>
      <c r="N16" s="591"/>
      <c r="O16" s="591"/>
      <c r="P16" s="413"/>
      <c r="Q16" s="494"/>
      <c r="R16" s="494"/>
      <c r="S16" s="494"/>
      <c r="T16" s="1071"/>
      <c r="U16" s="1071"/>
      <c r="V16" s="621"/>
      <c r="X16" s="588">
        <f>0.03*M8</f>
        <v>6465.9</v>
      </c>
      <c r="Y16" s="402" t="s">
        <v>392</v>
      </c>
      <c r="Z16" s="431"/>
      <c r="AA16" s="402"/>
      <c r="BP16" s="406">
        <f>'Premissas e Calculos'!J25</f>
        <v>205616.3</v>
      </c>
      <c r="BU16" s="405">
        <v>9</v>
      </c>
      <c r="BV16" s="407" t="e">
        <f>'Premissas e Calculos'!#REF!</f>
        <v>#REF!</v>
      </c>
      <c r="CB16" s="432"/>
      <c r="CC16" s="408"/>
      <c r="CD16" s="408"/>
      <c r="CE16" s="408"/>
      <c r="CH16" s="1059"/>
      <c r="CI16" s="1060"/>
      <c r="CJ16" s="1061"/>
      <c r="CO16" s="433"/>
      <c r="CP16" s="433"/>
      <c r="CQ16" s="764"/>
    </row>
    <row r="17" spans="2:96" ht="25.5" x14ac:dyDescent="0.2">
      <c r="B17" s="621"/>
      <c r="C17" s="431"/>
      <c r="D17" s="431"/>
      <c r="E17" s="658"/>
      <c r="F17" s="658"/>
      <c r="G17" s="658"/>
      <c r="H17" s="658"/>
      <c r="I17" s="658"/>
      <c r="J17" s="658"/>
      <c r="K17" s="658"/>
      <c r="L17" s="658"/>
      <c r="M17" s="658"/>
      <c r="N17" s="658"/>
      <c r="O17" s="658"/>
      <c r="P17" s="413"/>
      <c r="Q17" s="659"/>
      <c r="R17" s="494"/>
      <c r="S17" s="659"/>
      <c r="T17" s="431"/>
      <c r="U17" s="431"/>
      <c r="V17" s="621"/>
      <c r="Z17" s="431"/>
      <c r="AA17" s="402"/>
      <c r="BU17" s="405">
        <v>10</v>
      </c>
      <c r="BV17" s="407" t="e">
        <f>'Premissas e Calculos'!#REF!</f>
        <v>#REF!</v>
      </c>
      <c r="CB17" s="432"/>
      <c r="CC17" s="408"/>
      <c r="CD17" s="408"/>
      <c r="CE17" s="408"/>
      <c r="CH17" s="1059"/>
      <c r="CI17" s="1060"/>
      <c r="CJ17" s="1061"/>
      <c r="CO17" s="433"/>
      <c r="CP17" s="433"/>
      <c r="CQ17" s="764"/>
    </row>
    <row r="18" spans="2:96" ht="27.75" customHeight="1" thickBot="1" x14ac:dyDescent="0.25">
      <c r="B18" s="621"/>
      <c r="C18" s="431"/>
      <c r="D18" s="553" t="s">
        <v>744</v>
      </c>
      <c r="E18" s="1073"/>
      <c r="F18" s="1073"/>
      <c r="G18" s="1073"/>
      <c r="K18" s="431"/>
      <c r="L18" s="649" t="s">
        <v>752</v>
      </c>
      <c r="M18" s="1058">
        <v>30000</v>
      </c>
      <c r="N18" s="1058"/>
      <c r="O18" s="1058"/>
      <c r="P18" s="413"/>
      <c r="Q18" s="494"/>
      <c r="R18" s="494"/>
      <c r="S18" s="494"/>
      <c r="T18" s="431"/>
      <c r="U18" s="431"/>
      <c r="V18" s="621"/>
      <c r="W18" s="549"/>
      <c r="X18" s="420"/>
      <c r="Y18" s="421"/>
      <c r="Z18" s="431"/>
      <c r="AA18" s="402"/>
      <c r="BU18" s="405">
        <v>11</v>
      </c>
      <c r="BV18" s="407" t="e">
        <f>'Premissas e Calculos'!#REF!</f>
        <v>#REF!</v>
      </c>
      <c r="CB18" s="434" t="e">
        <f>Apoio!#REF!</f>
        <v>#REF!</v>
      </c>
      <c r="CC18" s="407" t="e">
        <f>Apoio!#REF!</f>
        <v>#REF!</v>
      </c>
      <c r="CD18" s="407" t="e">
        <f>Apoio!#REF!</f>
        <v>#REF!</v>
      </c>
      <c r="CE18" s="407" t="e">
        <f>Apoio!#REF!</f>
        <v>#REF!</v>
      </c>
      <c r="CH18" s="1062"/>
      <c r="CI18" s="1063"/>
      <c r="CJ18" s="1064"/>
      <c r="CO18" s="433"/>
      <c r="CP18" s="433"/>
      <c r="CQ18" s="764"/>
    </row>
    <row r="19" spans="2:96" ht="27.75" customHeight="1" x14ac:dyDescent="0.2">
      <c r="B19" s="621"/>
      <c r="C19" s="431"/>
      <c r="D19" s="550" t="s">
        <v>745</v>
      </c>
      <c r="E19" s="786">
        <v>4000</v>
      </c>
      <c r="F19" s="786"/>
      <c r="G19" s="786"/>
      <c r="K19" s="431"/>
      <c r="L19" s="431"/>
      <c r="M19" s="683"/>
      <c r="N19" s="550" t="s">
        <v>107</v>
      </c>
      <c r="O19" s="683"/>
      <c r="P19" s="413"/>
      <c r="Q19" s="494"/>
      <c r="R19" s="494"/>
      <c r="S19" s="494"/>
      <c r="T19" s="431"/>
      <c r="U19" s="431"/>
      <c r="V19" s="621"/>
      <c r="Y19" s="435"/>
      <c r="BU19" s="405"/>
      <c r="BV19" s="407" t="e">
        <f>'Premissas e Calculos'!#REF!</f>
        <v>#REF!</v>
      </c>
      <c r="CB19" s="434" t="e">
        <f>Apoio!#REF!</f>
        <v>#REF!</v>
      </c>
      <c r="CC19" s="407" t="e">
        <f>Apoio!#REF!</f>
        <v>#REF!</v>
      </c>
      <c r="CD19" s="407" t="e">
        <f>Apoio!#REF!</f>
        <v>#REF!</v>
      </c>
      <c r="CE19" s="407" t="e">
        <f>Apoio!#REF!</f>
        <v>#REF!</v>
      </c>
      <c r="CH19" s="436">
        <f>'DADOS DOS EMPREENDIMENTOS'!A12</f>
        <v>3</v>
      </c>
      <c r="CI19" s="407">
        <f>'DADOS DOS EMPREENDIMENTOS'!B12</f>
        <v>0</v>
      </c>
      <c r="CJ19" s="437">
        <f>'DADOS DOS EMPREENDIMENTOS'!C12</f>
        <v>3</v>
      </c>
      <c r="CO19" s="433"/>
      <c r="CP19" s="433"/>
    </row>
    <row r="20" spans="2:96" ht="27.75" customHeight="1" x14ac:dyDescent="0.2">
      <c r="B20" s="621"/>
      <c r="C20" s="431"/>
      <c r="D20" s="550" t="s">
        <v>751</v>
      </c>
      <c r="E20" s="718">
        <v>4</v>
      </c>
      <c r="F20" s="719">
        <v>3</v>
      </c>
      <c r="G20" s="720">
        <v>1997</v>
      </c>
      <c r="H20" s="660"/>
      <c r="I20" s="661"/>
      <c r="J20" s="550"/>
      <c r="K20" s="431"/>
      <c r="L20" s="550" t="s">
        <v>756</v>
      </c>
      <c r="M20" s="772">
        <f>'Premissas e Calculos'!J17</f>
        <v>1292.5</v>
      </c>
      <c r="N20" s="773"/>
      <c r="O20" s="774"/>
      <c r="P20" s="413"/>
      <c r="Q20" s="494"/>
      <c r="R20" s="494"/>
      <c r="S20" s="494"/>
      <c r="T20" s="431"/>
      <c r="U20" s="431"/>
      <c r="V20" s="621"/>
      <c r="W20" s="586" t="s">
        <v>764</v>
      </c>
      <c r="Y20" s="435"/>
      <c r="BU20" s="405"/>
      <c r="BV20" s="407"/>
      <c r="CB20" s="556"/>
      <c r="CC20" s="557"/>
      <c r="CD20" s="557"/>
      <c r="CE20" s="557"/>
      <c r="CH20" s="436"/>
      <c r="CI20" s="407"/>
      <c r="CJ20" s="437"/>
      <c r="CO20" s="433"/>
      <c r="CP20" s="433"/>
    </row>
    <row r="21" spans="2:96" ht="27.75" customHeight="1" x14ac:dyDescent="0.2">
      <c r="B21" s="621"/>
      <c r="C21" s="431"/>
      <c r="D21" s="554" t="s">
        <v>748</v>
      </c>
      <c r="E21" s="721">
        <v>1</v>
      </c>
      <c r="F21" s="652"/>
      <c r="G21" s="551"/>
      <c r="H21" s="660"/>
      <c r="I21" s="661"/>
      <c r="J21" s="550"/>
      <c r="K21" s="662"/>
      <c r="L21" s="662"/>
      <c r="M21" s="724"/>
      <c r="N21" s="555" t="s">
        <v>107</v>
      </c>
      <c r="O21" s="724"/>
      <c r="P21" s="413"/>
      <c r="Q21" s="494"/>
      <c r="R21" s="494"/>
      <c r="S21" s="494"/>
      <c r="T21" s="431"/>
      <c r="U21" s="431"/>
      <c r="V21" s="621"/>
      <c r="W21" s="399">
        <v>1</v>
      </c>
      <c r="Y21" s="435"/>
      <c r="BU21" s="405"/>
      <c r="BV21" s="407"/>
      <c r="CB21" s="556"/>
      <c r="CC21" s="557"/>
      <c r="CD21" s="557"/>
      <c r="CE21" s="557"/>
      <c r="CH21" s="436"/>
      <c r="CI21" s="407"/>
      <c r="CJ21" s="437"/>
      <c r="CO21" s="433"/>
      <c r="CP21" s="433"/>
    </row>
    <row r="22" spans="2:96" ht="27" customHeight="1" x14ac:dyDescent="0.2">
      <c r="B22" s="621"/>
      <c r="C22" s="663"/>
      <c r="D22" s="555" t="s">
        <v>749</v>
      </c>
      <c r="E22" s="722" t="s">
        <v>176</v>
      </c>
      <c r="F22" s="652"/>
      <c r="G22" s="551"/>
      <c r="H22" s="548"/>
      <c r="I22" s="661"/>
      <c r="J22" s="664"/>
      <c r="K22" s="550"/>
      <c r="L22" s="550" t="s">
        <v>757</v>
      </c>
      <c r="M22" s="775">
        <f ca="1">IF((M8-((IF(ROUND(IF(F32="PRAZO EXCEDIDO","ERRO",'Premissas e Calculos'!O10),0)&gt;=0,ROUND(IF(D33="PRAZO EXCEDIDO","ERRO",'Premissas e Calculos'!O10),0),0)*'Premissas e Calculos'!G32)+M20+M18))&gt;N25,(IF(ROUND(IF(D33="PRAZO EXCEDIDO","ERRO",'Premissas e Calculos'!O10),0)&gt;=0,ROUND(IF(D33="PRAZO EXCEDIDO","ERRO",'Premissas e Calculos'!O10),0),0)*'Premissas e Calculos'!G32),M9-M24-M18-M20)</f>
        <v>139216</v>
      </c>
      <c r="N22" s="776"/>
      <c r="O22" s="777"/>
      <c r="P22" s="635"/>
      <c r="Q22" s="431"/>
      <c r="R22" s="728">
        <f ca="1">(M22-M18)*((1+E27)^(1/12)-1)+(M22-M18)/360</f>
        <v>878.03897991798181</v>
      </c>
      <c r="S22" s="494"/>
      <c r="T22" s="431"/>
      <c r="U22" s="431"/>
      <c r="V22" s="621"/>
      <c r="W22" s="399">
        <v>2</v>
      </c>
      <c r="Y22" s="435"/>
      <c r="AA22" s="402"/>
      <c r="BP22" s="399" t="s">
        <v>176</v>
      </c>
      <c r="BU22" s="405">
        <v>14</v>
      </c>
      <c r="BV22" s="407" t="e">
        <f>'Premissas e Calculos'!#REF!</f>
        <v>#REF!</v>
      </c>
      <c r="CH22" s="436">
        <f>'DADOS DOS EMPREENDIMENTOS'!A13</f>
        <v>4</v>
      </c>
      <c r="CI22" s="407">
        <f>'DADOS DOS EMPREENDIMENTOS'!B13</f>
        <v>0</v>
      </c>
      <c r="CJ22" s="437">
        <f>'DADOS DOS EMPREENDIMENTOS'!C13</f>
        <v>4</v>
      </c>
    </row>
    <row r="23" spans="2:96" ht="32.25" customHeight="1" x14ac:dyDescent="0.2">
      <c r="B23" s="621"/>
      <c r="C23" s="663"/>
      <c r="D23" s="555" t="s">
        <v>746</v>
      </c>
      <c r="E23" s="723">
        <v>37</v>
      </c>
      <c r="F23" s="652"/>
      <c r="G23" s="551"/>
      <c r="H23" s="548"/>
      <c r="I23" s="661"/>
      <c r="J23" s="664"/>
      <c r="K23" s="662"/>
      <c r="L23" s="662"/>
      <c r="M23" s="683"/>
      <c r="N23" s="550" t="s">
        <v>108</v>
      </c>
      <c r="O23" s="683"/>
      <c r="P23" s="413"/>
      <c r="Q23" s="494"/>
      <c r="R23" s="729">
        <f ca="1">PMT(E29,E25,-(M22-M18),0,1)</f>
        <v>673.47308311538018</v>
      </c>
      <c r="S23" s="494"/>
      <c r="T23" s="431"/>
      <c r="U23" s="431"/>
      <c r="V23" s="621"/>
      <c r="W23" s="620">
        <f>IF(H3="TABELA PRICE",0,1)</f>
        <v>1</v>
      </c>
      <c r="X23" s="435"/>
      <c r="Y23" s="435"/>
      <c r="AA23" s="402"/>
      <c r="BU23" s="405"/>
      <c r="BV23" s="407"/>
      <c r="CH23" s="436"/>
      <c r="CI23" s="407"/>
      <c r="CJ23" s="437"/>
    </row>
    <row r="24" spans="2:96" ht="27.75" customHeight="1" x14ac:dyDescent="0.2">
      <c r="B24" s="621"/>
      <c r="C24" s="663"/>
      <c r="D24" s="555" t="s">
        <v>750</v>
      </c>
      <c r="E24" s="721" t="s">
        <v>176</v>
      </c>
      <c r="F24" s="652"/>
      <c r="G24" s="551"/>
      <c r="H24" s="431"/>
      <c r="I24" s="661"/>
      <c r="J24" s="664"/>
      <c r="K24" s="550"/>
      <c r="L24" s="550" t="s">
        <v>758</v>
      </c>
      <c r="M24" s="778">
        <f ca="1">SUM(M22,M20,M18)</f>
        <v>170508.5</v>
      </c>
      <c r="N24" s="779"/>
      <c r="O24" s="780"/>
      <c r="P24" s="635"/>
      <c r="Q24" s="665"/>
      <c r="R24" s="494"/>
      <c r="S24" s="494"/>
      <c r="T24" s="431"/>
      <c r="U24" s="431"/>
      <c r="V24" s="621"/>
      <c r="X24" s="435"/>
      <c r="Y24" s="435"/>
      <c r="AA24" s="402"/>
      <c r="BU24" s="405"/>
      <c r="BV24" s="407"/>
      <c r="CH24" s="436"/>
      <c r="CI24" s="407"/>
      <c r="CJ24" s="437"/>
    </row>
    <row r="25" spans="2:96" ht="36.75" customHeight="1" x14ac:dyDescent="0.2">
      <c r="B25" s="621"/>
      <c r="C25" s="663"/>
      <c r="D25" s="552" t="s">
        <v>747</v>
      </c>
      <c r="E25" s="723">
        <v>360</v>
      </c>
      <c r="F25" s="548"/>
      <c r="G25" s="666"/>
      <c r="H25" s="431"/>
      <c r="I25" s="661"/>
      <c r="J25" s="664"/>
      <c r="K25" s="550"/>
      <c r="L25" s="550"/>
      <c r="M25" s="634"/>
      <c r="N25" s="634"/>
      <c r="O25" s="634"/>
      <c r="P25" s="431"/>
      <c r="Q25" s="494"/>
      <c r="R25" s="494"/>
      <c r="S25" s="494"/>
      <c r="T25" s="431"/>
      <c r="U25" s="431"/>
      <c r="V25" s="621"/>
      <c r="AA25" s="402"/>
      <c r="BU25" s="405"/>
      <c r="BV25" s="407"/>
      <c r="CH25" s="436"/>
      <c r="CI25" s="407"/>
      <c r="CJ25" s="437"/>
    </row>
    <row r="26" spans="2:96" ht="24" customHeight="1" x14ac:dyDescent="0.2">
      <c r="B26" s="621"/>
      <c r="C26" s="431"/>
      <c r="D26" s="431"/>
      <c r="E26" s="431"/>
      <c r="F26" s="431"/>
      <c r="G26" s="431"/>
      <c r="H26" s="431"/>
      <c r="I26" s="661"/>
      <c r="J26" s="667"/>
      <c r="K26" s="550"/>
      <c r="L26" s="550" t="s">
        <v>392</v>
      </c>
      <c r="M26" s="778">
        <f>IF(E19&lt;=(SM*6),0,IF(E19&lt;=(SM*10),0.5*AB14,AB14))</f>
        <v>0</v>
      </c>
      <c r="N26" s="779"/>
      <c r="O26" s="780"/>
      <c r="P26" s="630"/>
      <c r="Q26" s="494"/>
      <c r="R26" s="494"/>
      <c r="S26" s="494"/>
      <c r="T26" s="431"/>
      <c r="U26" s="431"/>
      <c r="V26" s="621"/>
      <c r="Y26" s="439"/>
      <c r="BU26" s="405">
        <v>15</v>
      </c>
      <c r="BV26" s="407" t="e">
        <f>'Premissas e Calculos'!#REF!</f>
        <v>#REF!</v>
      </c>
      <c r="CB26" s="434" t="e">
        <f>Apoio!#REF!</f>
        <v>#REF!</v>
      </c>
      <c r="CC26" s="407" t="e">
        <f>Apoio!#REF!</f>
        <v>#REF!</v>
      </c>
      <c r="CD26" s="407" t="e">
        <f>Apoio!#REF!</f>
        <v>#REF!</v>
      </c>
      <c r="CE26" s="407" t="e">
        <f>Apoio!#REF!</f>
        <v>#REF!</v>
      </c>
      <c r="CH26" s="436">
        <f>'DADOS DOS EMPREENDIMENTOS'!A14</f>
        <v>5</v>
      </c>
      <c r="CI26" s="407">
        <f>'DADOS DOS EMPREENDIMENTOS'!B14</f>
        <v>0</v>
      </c>
      <c r="CJ26" s="437">
        <f>'DADOS DOS EMPREENDIMENTOS'!C14</f>
        <v>5</v>
      </c>
    </row>
    <row r="27" spans="2:96" ht="22.5" x14ac:dyDescent="0.2">
      <c r="B27" s="621"/>
      <c r="C27" s="431"/>
      <c r="D27" s="550" t="s">
        <v>753</v>
      </c>
      <c r="E27" s="561">
        <f>IF(F31="não",10.48%,IF(E23&gt;=36,'Premissas e Calculos'!J9-0.5%,'Premissas e Calculos'!J9))</f>
        <v>6.5000000000000002E-2</v>
      </c>
      <c r="F27" s="562" t="s">
        <v>139</v>
      </c>
      <c r="G27" s="668" t="str">
        <f>IF(E23&gt;=36,"(Redução de 0,5% na taxa de juros)","")</f>
        <v>(Redução de 0,5% na taxa de juros)</v>
      </c>
      <c r="H27" s="431"/>
      <c r="I27" s="661"/>
      <c r="J27" s="662"/>
      <c r="K27" s="669"/>
      <c r="L27" s="550" t="s">
        <v>754</v>
      </c>
      <c r="M27" s="781">
        <f>IF(F31="Sim",2600,IF(E24="Não",2600,5200))</f>
        <v>2600</v>
      </c>
      <c r="N27" s="782"/>
      <c r="O27" s="782"/>
      <c r="P27" s="633"/>
      <c r="Q27" s="494"/>
      <c r="R27" s="494"/>
      <c r="S27" s="494"/>
      <c r="T27" s="431"/>
      <c r="U27" s="431"/>
      <c r="V27" s="621"/>
      <c r="BU27" s="405">
        <v>16</v>
      </c>
      <c r="BV27" s="407" t="e">
        <f>'Premissas e Calculos'!#REF!</f>
        <v>#REF!</v>
      </c>
      <c r="CB27" s="434" t="e">
        <f>Apoio!#REF!</f>
        <v>#REF!</v>
      </c>
      <c r="CC27" s="407" t="e">
        <f>Apoio!#REF!</f>
        <v>#REF!</v>
      </c>
      <c r="CD27" s="407" t="e">
        <f>Apoio!#REF!</f>
        <v>#REF!</v>
      </c>
      <c r="CE27" s="407" t="e">
        <f>Apoio!#REF!</f>
        <v>#REF!</v>
      </c>
      <c r="CH27" s="436">
        <f>'DADOS DOS EMPREENDIMENTOS'!A15</f>
        <v>6</v>
      </c>
      <c r="CI27" s="407">
        <f>'DADOS DOS EMPREENDIMENTOS'!B15</f>
        <v>0</v>
      </c>
      <c r="CJ27" s="437">
        <f>'DADOS DOS EMPREENDIMENTOS'!C15</f>
        <v>6</v>
      </c>
      <c r="CO27" s="417" t="s">
        <v>102</v>
      </c>
      <c r="CP27" s="417" t="s">
        <v>99</v>
      </c>
      <c r="CQ27" s="763" t="s">
        <v>103</v>
      </c>
      <c r="CR27" s="417" t="s">
        <v>104</v>
      </c>
    </row>
    <row r="28" spans="2:96" ht="28.5" x14ac:dyDescent="0.2">
      <c r="B28" s="621"/>
      <c r="C28" s="431"/>
      <c r="D28" s="438"/>
      <c r="E28" s="546"/>
      <c r="F28" s="546"/>
      <c r="G28" s="548"/>
      <c r="H28" s="431"/>
      <c r="I28" s="550"/>
      <c r="J28" s="550"/>
      <c r="K28" s="431"/>
      <c r="L28" s="550" t="s">
        <v>755</v>
      </c>
      <c r="M28" s="778">
        <f>SUM(M26:O27)</f>
        <v>2600</v>
      </c>
      <c r="N28" s="779"/>
      <c r="O28" s="780"/>
      <c r="P28" s="633"/>
      <c r="Q28" s="494"/>
      <c r="R28" s="494"/>
      <c r="S28" s="494"/>
      <c r="T28" s="670"/>
      <c r="U28" s="670"/>
      <c r="V28" s="621"/>
      <c r="BU28" s="405">
        <v>17</v>
      </c>
      <c r="BV28" s="407" t="e">
        <f>'Premissas e Calculos'!#REF!</f>
        <v>#REF!</v>
      </c>
      <c r="CB28" s="434" t="e">
        <f>Apoio!#REF!</f>
        <v>#REF!</v>
      </c>
      <c r="CC28" s="407" t="e">
        <f>Apoio!#REF!</f>
        <v>#REF!</v>
      </c>
      <c r="CD28" s="407" t="e">
        <f>Apoio!#REF!</f>
        <v>#REF!</v>
      </c>
      <c r="CE28" s="407" t="e">
        <f>Apoio!#REF!</f>
        <v>#REF!</v>
      </c>
      <c r="CH28" s="436">
        <f>'DADOS DOS EMPREENDIMENTOS'!A16</f>
        <v>7</v>
      </c>
      <c r="CI28" s="407">
        <f>'DADOS DOS EMPREENDIMENTOS'!B16</f>
        <v>0</v>
      </c>
      <c r="CJ28" s="437">
        <f>'DADOS DOS EMPREENDIMENTOS'!C16</f>
        <v>7</v>
      </c>
      <c r="CO28" s="401">
        <v>240</v>
      </c>
      <c r="CP28" s="441" t="e">
        <f>repasse240</f>
        <v>#REF!</v>
      </c>
      <c r="CQ28" s="765" t="e">
        <f>#REF!</f>
        <v>#REF!</v>
      </c>
      <c r="CR28" s="442" t="e">
        <f>#REF!/CO28</f>
        <v>#REF!</v>
      </c>
    </row>
    <row r="29" spans="2:96" ht="28.5" x14ac:dyDescent="0.2">
      <c r="B29" s="621"/>
      <c r="C29" s="431"/>
      <c r="D29" s="546"/>
      <c r="E29" s="561">
        <f>(1+E27)^(1/12)-1</f>
        <v>5.2616942768477504E-3</v>
      </c>
      <c r="F29" s="562" t="s">
        <v>140</v>
      </c>
      <c r="G29" s="671"/>
      <c r="H29" s="431"/>
      <c r="I29" s="672"/>
      <c r="J29" s="662"/>
      <c r="K29" s="431"/>
      <c r="L29" s="431"/>
      <c r="M29" s="683"/>
      <c r="N29" s="683"/>
      <c r="O29" s="683"/>
      <c r="P29" s="673"/>
      <c r="Q29" s="431"/>
      <c r="R29" s="431"/>
      <c r="S29" s="431"/>
      <c r="T29" s="670"/>
      <c r="U29" s="670"/>
      <c r="V29" s="621"/>
      <c r="BU29" s="405">
        <v>18</v>
      </c>
      <c r="BV29" s="407" t="e">
        <f>'Premissas e Calculos'!#REF!</f>
        <v>#REF!</v>
      </c>
      <c r="CB29" s="434" t="e">
        <f>Apoio!#REF!</f>
        <v>#REF!</v>
      </c>
      <c r="CC29" s="407" t="e">
        <f>Apoio!#REF!</f>
        <v>#REF!</v>
      </c>
      <c r="CD29" s="407" t="e">
        <f>Apoio!#REF!</f>
        <v>#REF!</v>
      </c>
      <c r="CE29" s="407" t="e">
        <f>Apoio!#REF!</f>
        <v>#REF!</v>
      </c>
      <c r="CH29" s="436">
        <f>'DADOS DOS EMPREENDIMENTOS'!A17</f>
        <v>8</v>
      </c>
      <c r="CI29" s="407">
        <f>'DADOS DOS EMPREENDIMENTOS'!B17</f>
        <v>0</v>
      </c>
      <c r="CJ29" s="437">
        <f>'DADOS DOS EMPREENDIMENTOS'!C17</f>
        <v>8</v>
      </c>
      <c r="CO29" s="401">
        <v>300</v>
      </c>
      <c r="CP29" s="441" t="e">
        <f>repasse300</f>
        <v>#REF!</v>
      </c>
      <c r="CQ29" s="765" t="e">
        <f>#REF!</f>
        <v>#REF!</v>
      </c>
      <c r="CR29" s="442" t="e">
        <f>#REF!/CO29</f>
        <v>#REF!</v>
      </c>
    </row>
    <row r="30" spans="2:96" ht="19.5" x14ac:dyDescent="0.2">
      <c r="B30" s="621"/>
      <c r="C30" s="431"/>
      <c r="D30" s="438"/>
      <c r="E30" s="438"/>
      <c r="F30" s="438"/>
      <c r="G30" s="438"/>
      <c r="H30" s="431"/>
      <c r="I30" s="550"/>
      <c r="J30" s="550"/>
      <c r="K30" s="431"/>
      <c r="L30" s="431"/>
      <c r="M30" s="683"/>
      <c r="N30" s="683"/>
      <c r="O30" s="683"/>
      <c r="P30" s="674"/>
      <c r="Q30" s="431"/>
      <c r="R30" s="431"/>
      <c r="S30" s="431"/>
      <c r="T30" s="674"/>
      <c r="U30" s="431"/>
      <c r="V30" s="621"/>
      <c r="BU30" s="405"/>
      <c r="BV30" s="407"/>
      <c r="CB30" s="434"/>
      <c r="CC30" s="407"/>
      <c r="CD30" s="407"/>
      <c r="CE30" s="407"/>
      <c r="CH30" s="436"/>
      <c r="CI30" s="407"/>
      <c r="CJ30" s="437"/>
      <c r="CO30" s="401"/>
      <c r="CP30" s="441"/>
      <c r="CQ30" s="765"/>
      <c r="CR30" s="442"/>
    </row>
    <row r="31" spans="2:96" ht="30.75" customHeight="1" x14ac:dyDescent="0.2">
      <c r="B31" s="621"/>
      <c r="C31" s="431"/>
      <c r="D31" s="640"/>
      <c r="E31" s="611" t="s">
        <v>762</v>
      </c>
      <c r="F31" s="748" t="str">
        <f>IF(AND(E19&lt;='Premissas e Calculos'!C7,E24="Não"),"Sim","Não")</f>
        <v>Sim</v>
      </c>
      <c r="G31" s="630"/>
      <c r="H31" s="550" t="s">
        <v>763</v>
      </c>
      <c r="I31" s="794">
        <f>E19*30%</f>
        <v>1200</v>
      </c>
      <c r="J31" s="795"/>
      <c r="K31" s="431"/>
      <c r="L31" s="550" t="s">
        <v>759</v>
      </c>
      <c r="M31" s="1068">
        <f ca="1">Q33+M24</f>
        <v>170508.5</v>
      </c>
      <c r="N31" s="1069"/>
      <c r="O31" s="1070"/>
      <c r="P31" s="632"/>
      <c r="Q31" s="431"/>
      <c r="R31" s="431"/>
      <c r="S31" s="431"/>
      <c r="T31" s="674"/>
      <c r="U31" s="431"/>
      <c r="V31" s="621"/>
      <c r="BU31" s="405"/>
      <c r="BV31" s="407"/>
      <c r="CB31" s="434"/>
      <c r="CC31" s="407"/>
      <c r="CD31" s="407"/>
      <c r="CE31" s="407"/>
      <c r="CH31" s="436"/>
      <c r="CI31" s="407"/>
      <c r="CJ31" s="437"/>
      <c r="CO31" s="401"/>
      <c r="CP31" s="441"/>
      <c r="CQ31" s="765"/>
      <c r="CR31" s="442"/>
    </row>
    <row r="32" spans="2:96" ht="25.5" customHeight="1" x14ac:dyDescent="0.2">
      <c r="B32" s="621"/>
      <c r="C32" s="431"/>
      <c r="D32" s="727" t="str">
        <f>IF(F29&lt;=L14,"OK",IF(L14&lt;0,"Não é possível financiar. Idade superior à permitida.",CONCATENATE("PRAZO EXCEDIDO, MÁXIMO: ",L14, " MESES")))</f>
        <v>OK</v>
      </c>
      <c r="E32" s="431"/>
      <c r="F32" s="812" t="str">
        <f ca="1">IF(E25&lt;='Premissas e Calculos'!O16,"OK",IF('Premissas e Calculos'!O16&lt;0,"Não é possível financiar. Idade superior à permitida.",CONCATENATE("PRAZO EXCEDIDO, MÁXIMO: ",'Premissas e Calculos'!O16," MESES")))</f>
        <v>OK</v>
      </c>
      <c r="G32" s="1072" t="b">
        <f>IF(W14=0,IF(E19&gt;7000,"Cliente fora do PMCMV/CCFGTS, mudar p/ SAC",""))</f>
        <v>0</v>
      </c>
      <c r="H32" s="1072"/>
      <c r="I32" s="1072"/>
      <c r="J32" s="431"/>
      <c r="K32" s="431"/>
      <c r="L32" s="431"/>
      <c r="M32" s="431"/>
      <c r="N32" s="631"/>
      <c r="O32" s="631"/>
      <c r="P32" s="674"/>
      <c r="Q32" s="431"/>
      <c r="R32" s="431"/>
      <c r="S32" s="431"/>
      <c r="T32" s="675"/>
      <c r="U32" s="431"/>
      <c r="V32" s="621"/>
      <c r="BO32" s="399" t="s">
        <v>159</v>
      </c>
      <c r="BU32" s="405">
        <v>20</v>
      </c>
      <c r="BV32" s="407" t="e">
        <f>'Premissas e Calculos'!#REF!</f>
        <v>#REF!</v>
      </c>
      <c r="CB32" s="434" t="e">
        <f>Apoio!#REF!</f>
        <v>#REF!</v>
      </c>
      <c r="CC32" s="407" t="e">
        <f>Apoio!#REF!</f>
        <v>#REF!</v>
      </c>
      <c r="CD32" s="407" t="e">
        <f>Apoio!#REF!</f>
        <v>#REF!</v>
      </c>
      <c r="CE32" s="407" t="e">
        <f>Apoio!#REF!</f>
        <v>#REF!</v>
      </c>
      <c r="CH32" s="436">
        <f>'DADOS DOS EMPREENDIMENTOS'!A19</f>
        <v>10</v>
      </c>
      <c r="CI32" s="407">
        <f>'DADOS DOS EMPREENDIMENTOS'!B19</f>
        <v>0</v>
      </c>
      <c r="CJ32" s="437">
        <f>'DADOS DOS EMPREENDIMENTOS'!C19</f>
        <v>10</v>
      </c>
    </row>
    <row r="33" spans="2:95" ht="27" customHeight="1" x14ac:dyDescent="0.2">
      <c r="B33" s="621"/>
      <c r="C33" s="431"/>
      <c r="D33" s="694" t="str">
        <f ca="1">IF(E25&lt;='Premissas e Calculos'!O16,"OK",IF('Premissas e Calculos'!O16&lt;0,"Não é possível financiar. Idade superior à permitida.",CONCATENATE("PRAZO EXCEDIDO, MÁXIMO: ",'Premissas e Calculos'!O16, " MESES")))</f>
        <v>OK</v>
      </c>
      <c r="E33" s="638"/>
      <c r="F33" s="812"/>
      <c r="G33" s="1072"/>
      <c r="H33" s="1072"/>
      <c r="I33" s="1072"/>
      <c r="J33" s="638"/>
      <c r="K33" s="638"/>
      <c r="L33" s="638"/>
      <c r="M33" s="639"/>
      <c r="N33" s="639"/>
      <c r="O33" s="639"/>
      <c r="P33" s="443"/>
      <c r="Q33" s="431"/>
      <c r="R33" s="431"/>
      <c r="S33" s="431"/>
      <c r="T33" s="675"/>
      <c r="U33" s="431"/>
      <c r="V33" s="621"/>
      <c r="AA33" s="399" t="s">
        <v>234</v>
      </c>
      <c r="BU33" s="405"/>
      <c r="BV33" s="407"/>
      <c r="CB33" s="434" t="e">
        <f>Apoio!#REF!</f>
        <v>#REF!</v>
      </c>
      <c r="CC33" s="407" t="e">
        <f>Apoio!#REF!</f>
        <v>#REF!</v>
      </c>
      <c r="CD33" s="407" t="e">
        <f>Apoio!#REF!</f>
        <v>#REF!</v>
      </c>
      <c r="CE33" s="407" t="e">
        <f>Apoio!#REF!</f>
        <v>#REF!</v>
      </c>
      <c r="CH33" s="436">
        <f>'DADOS DOS EMPREENDIMENTOS'!A20</f>
        <v>11</v>
      </c>
      <c r="CI33" s="407">
        <f>'DADOS DOS EMPREENDIMENTOS'!B20</f>
        <v>0</v>
      </c>
      <c r="CJ33" s="437">
        <f>'DADOS DOS EMPREENDIMENTOS'!C20</f>
        <v>11</v>
      </c>
    </row>
    <row r="34" spans="2:95" ht="27" customHeight="1" x14ac:dyDescent="0.2">
      <c r="B34" s="621"/>
      <c r="C34" s="431"/>
      <c r="D34" s="431"/>
      <c r="E34" s="444"/>
      <c r="F34" s="444"/>
      <c r="G34" s="431"/>
      <c r="H34" s="431"/>
      <c r="I34" s="431"/>
      <c r="J34" s="431"/>
      <c r="K34" s="431"/>
      <c r="L34" s="431"/>
      <c r="M34" s="638" t="str">
        <f>IF(E19&gt;'Premissas e Calculos'!C7,"Renda acima de R$ 7.000 Financia somente na Tabela SAC em até 360 meses"," ")</f>
        <v xml:space="preserve"> </v>
      </c>
      <c r="N34" s="676"/>
      <c r="O34" s="676"/>
      <c r="P34" s="431"/>
      <c r="Q34" s="431"/>
      <c r="R34" s="677"/>
      <c r="S34" s="675"/>
      <c r="T34" s="675"/>
      <c r="U34" s="431"/>
      <c r="V34" s="621"/>
      <c r="AA34" s="445" t="e">
        <f>IF(L48&gt;#REF!,L48,#REF!)</f>
        <v>#REF!</v>
      </c>
      <c r="BU34" s="405"/>
      <c r="BV34" s="407"/>
      <c r="CB34" s="434"/>
      <c r="CC34" s="407"/>
      <c r="CD34" s="407"/>
      <c r="CE34" s="407"/>
      <c r="CH34" s="436">
        <f>'DADOS DOS EMPREENDIMENTOS'!A21</f>
        <v>12</v>
      </c>
      <c r="CI34" s="407">
        <f>'DADOS DOS EMPREENDIMENTOS'!B21</f>
        <v>0</v>
      </c>
      <c r="CJ34" s="437">
        <f>'DADOS DOS EMPREENDIMENTOS'!C21</f>
        <v>12</v>
      </c>
      <c r="CN34" s="399"/>
      <c r="CQ34" s="766"/>
    </row>
    <row r="35" spans="2:95" ht="27" customHeight="1" x14ac:dyDescent="0.2">
      <c r="B35" s="621"/>
      <c r="C35" s="431"/>
      <c r="D35" s="637" t="s">
        <v>769</v>
      </c>
      <c r="E35" s="431"/>
      <c r="F35" s="431"/>
      <c r="G35" s="431"/>
      <c r="H35" s="431"/>
      <c r="I35" s="431"/>
      <c r="J35" s="431"/>
      <c r="K35" s="431"/>
      <c r="L35" s="431"/>
      <c r="M35" s="431"/>
      <c r="N35" s="431"/>
      <c r="O35" s="431"/>
      <c r="P35" s="431"/>
      <c r="Q35" s="431"/>
      <c r="R35" s="677"/>
      <c r="S35" s="675"/>
      <c r="T35" s="675"/>
      <c r="U35" s="431"/>
      <c r="V35" s="621"/>
      <c r="AA35" s="445" t="e">
        <f>IF(#REF!&gt;#REF!,#REF!,#REF!)</f>
        <v>#REF!</v>
      </c>
      <c r="BU35" s="405"/>
      <c r="BV35" s="407"/>
      <c r="CB35" s="434"/>
      <c r="CC35" s="407"/>
      <c r="CD35" s="407"/>
      <c r="CE35" s="407"/>
      <c r="CH35" s="436">
        <f>'DADOS DOS EMPREENDIMENTOS'!A22</f>
        <v>13</v>
      </c>
      <c r="CI35" s="407">
        <f>'DADOS DOS EMPREENDIMENTOS'!B22</f>
        <v>0</v>
      </c>
      <c r="CJ35" s="437">
        <f>'DADOS DOS EMPREENDIMENTOS'!C22</f>
        <v>13</v>
      </c>
      <c r="CN35" s="399"/>
      <c r="CQ35" s="766"/>
    </row>
    <row r="36" spans="2:95" ht="26.25" customHeight="1" thickBot="1" x14ac:dyDescent="0.25">
      <c r="B36" s="621"/>
      <c r="C36" s="431"/>
      <c r="D36" s="591"/>
      <c r="E36" s="591"/>
      <c r="F36" s="591"/>
      <c r="G36" s="591"/>
      <c r="H36" s="591"/>
      <c r="I36" s="591"/>
      <c r="J36" s="591"/>
      <c r="K36" s="591"/>
      <c r="L36" s="591"/>
      <c r="M36" s="591"/>
      <c r="N36" s="591"/>
      <c r="O36" s="591"/>
      <c r="P36" s="591"/>
      <c r="Q36" s="591"/>
      <c r="R36" s="591"/>
      <c r="S36" s="591"/>
      <c r="T36" s="675"/>
      <c r="U36" s="431"/>
      <c r="V36" s="621"/>
      <c r="BU36" s="405">
        <v>21</v>
      </c>
      <c r="BV36" s="407" t="e">
        <f>'Premissas e Calculos'!#REF!</f>
        <v>#REF!</v>
      </c>
      <c r="CH36" s="436">
        <f>'DADOS DOS EMPREENDIMENTOS'!A23</f>
        <v>14</v>
      </c>
      <c r="CI36" s="407">
        <f>'DADOS DOS EMPREENDIMENTOS'!B23</f>
        <v>0</v>
      </c>
      <c r="CJ36" s="437">
        <f>'DADOS DOS EMPREENDIMENTOS'!C23</f>
        <v>14</v>
      </c>
      <c r="CN36" s="399"/>
      <c r="CQ36" s="766"/>
    </row>
    <row r="37" spans="2:95" ht="36" hidden="1" customHeight="1" thickBot="1" x14ac:dyDescent="0.25">
      <c r="B37" s="621"/>
      <c r="C37" s="431"/>
      <c r="D37" s="637"/>
      <c r="E37" s="637"/>
      <c r="F37" s="637"/>
      <c r="G37" s="637"/>
      <c r="H37" s="431"/>
      <c r="I37" s="431"/>
      <c r="J37" s="431"/>
      <c r="K37" s="431"/>
      <c r="L37" s="431"/>
      <c r="M37" s="431"/>
      <c r="N37" s="431"/>
      <c r="O37" s="431"/>
      <c r="P37" s="431"/>
      <c r="Q37" s="431"/>
      <c r="R37" s="431"/>
      <c r="S37" s="431"/>
      <c r="T37" s="431"/>
      <c r="U37" s="431"/>
      <c r="V37" s="621"/>
      <c r="BO37" s="446" t="s">
        <v>37</v>
      </c>
      <c r="BP37" s="399">
        <v>1</v>
      </c>
      <c r="BU37" s="405">
        <v>22</v>
      </c>
      <c r="BV37" s="407" t="e">
        <f>'Premissas e Calculos'!#REF!</f>
        <v>#REF!</v>
      </c>
      <c r="CB37" s="434"/>
      <c r="CC37" s="447"/>
      <c r="CD37" s="407"/>
      <c r="CE37" s="407"/>
      <c r="CH37" s="436">
        <f>'DADOS DOS EMPREENDIMENTOS'!A24</f>
        <v>0</v>
      </c>
      <c r="CI37" s="407">
        <f>'DADOS DOS EMPREENDIMENTOS'!B24</f>
        <v>0</v>
      </c>
      <c r="CJ37" s="437">
        <f>'DADOS DOS EMPREENDIMENTOS'!C24</f>
        <v>0</v>
      </c>
      <c r="CN37" s="399"/>
      <c r="CQ37" s="766"/>
    </row>
    <row r="38" spans="2:95" ht="21.75" hidden="1" customHeight="1" thickBot="1" x14ac:dyDescent="0.25">
      <c r="B38" s="621"/>
      <c r="C38" s="431"/>
      <c r="D38" s="637"/>
      <c r="E38" s="637"/>
      <c r="F38" s="637"/>
      <c r="G38" s="637"/>
      <c r="H38" s="431"/>
      <c r="I38" s="431"/>
      <c r="J38" s="431"/>
      <c r="K38" s="431"/>
      <c r="L38" s="431"/>
      <c r="M38" s="431"/>
      <c r="N38" s="431"/>
      <c r="O38" s="431"/>
      <c r="P38" s="431"/>
      <c r="Q38" s="431"/>
      <c r="R38" s="431"/>
      <c r="S38" s="431"/>
      <c r="T38" s="431"/>
      <c r="U38" s="431"/>
      <c r="V38" s="621"/>
      <c r="W38" s="450">
        <f>+N40+N42+N44+N48</f>
        <v>16164.749999999998</v>
      </c>
      <c r="X38" s="450">
        <f>+N62+N64+N68</f>
        <v>800</v>
      </c>
      <c r="Y38" s="448" t="s">
        <v>190</v>
      </c>
      <c r="BO38" s="446" t="s">
        <v>39</v>
      </c>
      <c r="BP38" s="399">
        <v>6</v>
      </c>
      <c r="BU38" s="405">
        <v>23</v>
      </c>
      <c r="BV38" s="407" t="e">
        <f>'Premissas e Calculos'!#REF!</f>
        <v>#REF!</v>
      </c>
      <c r="CB38" s="434"/>
      <c r="CC38" s="447"/>
      <c r="CD38" s="407"/>
      <c r="CE38" s="407"/>
      <c r="CH38" s="436">
        <f>'DADOS DOS EMPREENDIMENTOS'!A25</f>
        <v>0</v>
      </c>
      <c r="CI38" s="407">
        <f>'DADOS DOS EMPREENDIMENTOS'!B25</f>
        <v>0</v>
      </c>
      <c r="CJ38" s="437">
        <f>'DADOS DOS EMPREENDIMENTOS'!C25</f>
        <v>0</v>
      </c>
      <c r="CN38" s="399"/>
      <c r="CQ38" s="766"/>
    </row>
    <row r="39" spans="2:95" ht="46.5" hidden="1" customHeight="1" x14ac:dyDescent="0.2">
      <c r="B39" s="621"/>
      <c r="C39" s="494"/>
      <c r="D39" s="815" t="s">
        <v>50</v>
      </c>
      <c r="E39" s="431"/>
      <c r="F39" s="811" t="s">
        <v>166</v>
      </c>
      <c r="G39" s="811"/>
      <c r="H39" s="733" t="s">
        <v>161</v>
      </c>
      <c r="I39" s="813" t="s">
        <v>160</v>
      </c>
      <c r="J39" s="813"/>
      <c r="K39" s="813"/>
      <c r="L39" s="813" t="s">
        <v>162</v>
      </c>
      <c r="M39" s="813"/>
      <c r="N39" s="811" t="s">
        <v>60</v>
      </c>
      <c r="O39" s="811"/>
      <c r="P39" s="1067"/>
      <c r="Q39" s="697" t="s">
        <v>228</v>
      </c>
      <c r="R39" s="431"/>
      <c r="S39" s="431"/>
      <c r="T39" s="451"/>
      <c r="U39" s="431"/>
      <c r="V39" s="621"/>
      <c r="W39" s="440">
        <f>N40+N42+N44</f>
        <v>9698.8499999999985</v>
      </c>
      <c r="X39" s="453">
        <f>N40</f>
        <v>3232.95</v>
      </c>
      <c r="Y39" s="452">
        <f>+W38-X38</f>
        <v>15364.749999999998</v>
      </c>
      <c r="AB39" s="1033" t="s">
        <v>163</v>
      </c>
      <c r="AC39" s="1034"/>
      <c r="AD39" s="1035"/>
      <c r="BO39" s="446" t="s">
        <v>27</v>
      </c>
      <c r="BP39" s="399">
        <v>12</v>
      </c>
      <c r="BU39" s="405"/>
      <c r="BV39" s="407"/>
      <c r="CB39" s="434"/>
      <c r="CC39" s="447"/>
      <c r="CD39" s="407"/>
      <c r="CE39" s="407"/>
      <c r="CH39" s="436">
        <f>'DADOS DOS EMPREENDIMENTOS'!A26</f>
        <v>0</v>
      </c>
      <c r="CI39" s="407">
        <f>'DADOS DOS EMPREENDIMENTOS'!B26</f>
        <v>0</v>
      </c>
      <c r="CJ39" s="437">
        <f>'DADOS DOS EMPREENDIMENTOS'!C26</f>
        <v>0</v>
      </c>
      <c r="CN39" s="399"/>
      <c r="CQ39" s="766"/>
    </row>
    <row r="40" spans="2:95" ht="38.25" hidden="1" customHeight="1" x14ac:dyDescent="0.2">
      <c r="B40" s="621"/>
      <c r="C40" s="494"/>
      <c r="D40" s="815"/>
      <c r="E40" s="563" t="s">
        <v>44</v>
      </c>
      <c r="F40" s="788">
        <f>+fluxos!B4</f>
        <v>0</v>
      </c>
      <c r="G40" s="788"/>
      <c r="H40" s="566">
        <f ca="1">IF(H10&lt;43647,43647,H10)</f>
        <v>43802</v>
      </c>
      <c r="I40" s="796">
        <v>1</v>
      </c>
      <c r="J40" s="809"/>
      <c r="K40" s="797"/>
      <c r="L40" s="783">
        <f>M8*Q40/I40</f>
        <v>3232.95</v>
      </c>
      <c r="M40" s="784"/>
      <c r="N40" s="785">
        <f>L40*I40</f>
        <v>3232.95</v>
      </c>
      <c r="O40" s="785"/>
      <c r="P40" s="785"/>
      <c r="Q40" s="607">
        <f>fluxos!D4</f>
        <v>1.4999999999999999E-2</v>
      </c>
      <c r="R40" s="431"/>
      <c r="S40" s="431"/>
      <c r="T40" s="454"/>
      <c r="U40" s="431"/>
      <c r="V40" s="621"/>
      <c r="W40" s="440">
        <f>N40+N42</f>
        <v>6465.9</v>
      </c>
      <c r="X40" s="456">
        <f>+N62+N64</f>
        <v>800</v>
      </c>
      <c r="Y40" s="452">
        <f>+N62+N64+N66</f>
        <v>800</v>
      </c>
      <c r="AB40" s="934" t="e">
        <f ca="1">'Proposta 1 Via'!M16</f>
        <v>#REF!</v>
      </c>
      <c r="AC40" s="935"/>
      <c r="AD40" s="936"/>
      <c r="BO40" s="446" t="s">
        <v>236</v>
      </c>
      <c r="BU40" s="405"/>
      <c r="BV40" s="407"/>
      <c r="CB40" s="434"/>
      <c r="CC40" s="447"/>
      <c r="CD40" s="407"/>
      <c r="CE40" s="407"/>
      <c r="CH40" s="436">
        <f>'DADOS DOS EMPREENDIMENTOS'!A27</f>
        <v>0</v>
      </c>
      <c r="CI40" s="407">
        <f>'DADOS DOS EMPREENDIMENTOS'!B27</f>
        <v>0</v>
      </c>
      <c r="CJ40" s="437">
        <f>'DADOS DOS EMPREENDIMENTOS'!C27</f>
        <v>0</v>
      </c>
      <c r="CN40" s="399"/>
      <c r="CQ40" s="766"/>
    </row>
    <row r="41" spans="2:95" ht="19.5" hidden="1" customHeight="1" x14ac:dyDescent="0.2">
      <c r="B41" s="621"/>
      <c r="C41" s="494"/>
      <c r="D41" s="815"/>
      <c r="E41" s="564"/>
      <c r="F41" s="567"/>
      <c r="G41" s="567"/>
      <c r="H41" s="601"/>
      <c r="I41" s="567"/>
      <c r="J41" s="567"/>
      <c r="K41" s="567"/>
      <c r="L41" s="568"/>
      <c r="M41" s="568"/>
      <c r="N41" s="568"/>
      <c r="O41" s="568"/>
      <c r="P41" s="568"/>
      <c r="Q41" s="608"/>
      <c r="R41" s="431"/>
      <c r="S41" s="431"/>
      <c r="T41" s="454"/>
      <c r="U41" s="431"/>
      <c r="V41" s="621"/>
      <c r="W41" s="456">
        <f>W40-X39</f>
        <v>3232.95</v>
      </c>
      <c r="X41" s="399">
        <f>IF(W41&lt;0,"0",W41)</f>
        <v>3232.95</v>
      </c>
      <c r="Y41" s="457"/>
      <c r="AB41" s="458"/>
      <c r="AC41" s="459"/>
      <c r="AD41" s="460"/>
      <c r="BO41" s="446" t="s">
        <v>237</v>
      </c>
      <c r="BU41" s="405"/>
      <c r="BV41" s="407"/>
      <c r="CB41" s="434"/>
      <c r="CC41" s="447"/>
      <c r="CD41" s="407"/>
      <c r="CE41" s="407"/>
      <c r="CH41" s="436"/>
      <c r="CI41" s="407"/>
      <c r="CJ41" s="437"/>
      <c r="CN41" s="399"/>
      <c r="CQ41" s="766"/>
    </row>
    <row r="42" spans="2:95" ht="38.25" hidden="1" customHeight="1" x14ac:dyDescent="0.2">
      <c r="B42" s="621"/>
      <c r="C42" s="494"/>
      <c r="D42" s="815"/>
      <c r="E42" s="563" t="s">
        <v>383</v>
      </c>
      <c r="F42" s="788">
        <f>+fluxos!B5</f>
        <v>1</v>
      </c>
      <c r="G42" s="788"/>
      <c r="H42" s="746">
        <f ca="1">DATE(YEAR(H40),MONTH(H40)+(F42-F40),DAY(H40))</f>
        <v>43833</v>
      </c>
      <c r="I42" s="796">
        <v>1</v>
      </c>
      <c r="J42" s="809"/>
      <c r="K42" s="797"/>
      <c r="L42" s="783">
        <f>M8*Q42/I42</f>
        <v>3232.95</v>
      </c>
      <c r="M42" s="784"/>
      <c r="N42" s="785">
        <f>L42*I42</f>
        <v>3232.95</v>
      </c>
      <c r="O42" s="785"/>
      <c r="P42" s="785"/>
      <c r="Q42" s="607">
        <f>fluxos!D5</f>
        <v>1.4999999999999999E-2</v>
      </c>
      <c r="R42" s="431"/>
      <c r="S42" s="431"/>
      <c r="T42" s="454"/>
      <c r="U42" s="431"/>
      <c r="V42" s="621"/>
      <c r="X42" s="431"/>
      <c r="Y42" s="452">
        <f>+W39-Y40</f>
        <v>8898.8499999999985</v>
      </c>
      <c r="AB42" s="934" t="e">
        <f ca="1">'Proposta 1 Via'!M17</f>
        <v>#REF!</v>
      </c>
      <c r="AC42" s="935"/>
      <c r="AD42" s="936"/>
      <c r="BO42" s="446"/>
      <c r="BU42" s="405"/>
      <c r="BV42" s="407"/>
      <c r="CB42" s="434"/>
      <c r="CC42" s="447"/>
      <c r="CD42" s="407"/>
      <c r="CE42" s="407"/>
      <c r="CH42" s="436"/>
      <c r="CI42" s="407"/>
      <c r="CJ42" s="437"/>
      <c r="CN42" s="399"/>
      <c r="CQ42" s="766"/>
    </row>
    <row r="43" spans="2:95" ht="21.75" hidden="1" customHeight="1" x14ac:dyDescent="0.2">
      <c r="B43" s="621"/>
      <c r="C43" s="494"/>
      <c r="D43" s="815"/>
      <c r="E43" s="564"/>
      <c r="F43" s="567"/>
      <c r="G43" s="567"/>
      <c r="H43" s="601"/>
      <c r="I43" s="567"/>
      <c r="J43" s="567"/>
      <c r="K43" s="567"/>
      <c r="L43" s="568"/>
      <c r="M43" s="568"/>
      <c r="N43" s="568"/>
      <c r="O43" s="568"/>
      <c r="P43" s="568"/>
      <c r="Q43" s="608"/>
      <c r="R43" s="431"/>
      <c r="S43" s="431"/>
      <c r="T43" s="454"/>
      <c r="U43" s="431"/>
      <c r="V43" s="621"/>
      <c r="W43" s="440">
        <f>+N40+N42+N44</f>
        <v>9698.8499999999985</v>
      </c>
      <c r="X43" s="456">
        <f>W43-X40</f>
        <v>8898.8499999999985</v>
      </c>
      <c r="Y43" s="457"/>
      <c r="AB43" s="458"/>
      <c r="AC43" s="459"/>
      <c r="AD43" s="460"/>
      <c r="BO43" s="446"/>
      <c r="BU43" s="405"/>
      <c r="BV43" s="407"/>
      <c r="CB43" s="434"/>
      <c r="CC43" s="447"/>
      <c r="CD43" s="407"/>
      <c r="CE43" s="407"/>
      <c r="CH43" s="436"/>
      <c r="CI43" s="407"/>
      <c r="CJ43" s="437"/>
      <c r="CN43" s="399"/>
      <c r="CQ43" s="766"/>
    </row>
    <row r="44" spans="2:95" ht="38.25" hidden="1" customHeight="1" x14ac:dyDescent="0.2">
      <c r="B44" s="621"/>
      <c r="C44" s="494"/>
      <c r="D44" s="815"/>
      <c r="E44" s="563" t="s">
        <v>393</v>
      </c>
      <c r="F44" s="788">
        <f>fluxos!B6</f>
        <v>2</v>
      </c>
      <c r="G44" s="788"/>
      <c r="H44" s="746">
        <f ca="1">DATE(YEAR(H42),MONTH(H42)+(F44-F42),DAY(H42))</f>
        <v>43864</v>
      </c>
      <c r="I44" s="796">
        <v>1</v>
      </c>
      <c r="J44" s="809"/>
      <c r="K44" s="797"/>
      <c r="L44" s="783">
        <f>$M$8*Q44/I44</f>
        <v>3232.95</v>
      </c>
      <c r="M44" s="784"/>
      <c r="N44" s="785">
        <f>L44*I44</f>
        <v>3232.95</v>
      </c>
      <c r="O44" s="785"/>
      <c r="P44" s="785"/>
      <c r="Q44" s="607">
        <f>fluxos!D6</f>
        <v>1.4999999999999999E-2</v>
      </c>
      <c r="R44" s="431"/>
      <c r="S44" s="431"/>
      <c r="T44" s="454"/>
      <c r="U44" s="431"/>
      <c r="V44" s="621"/>
      <c r="X44" s="463">
        <f>X43/3</f>
        <v>2966.2833333333328</v>
      </c>
      <c r="Y44" s="452">
        <f>(+Y39-N68)/F68</f>
        <v>15364.749999999998</v>
      </c>
      <c r="AB44" s="934" t="e">
        <f ca="1">'Proposta 1 Via'!M18</f>
        <v>#REF!</v>
      </c>
      <c r="AC44" s="935"/>
      <c r="AD44" s="936"/>
      <c r="BO44" s="446"/>
      <c r="BU44" s="405"/>
      <c r="BV44" s="407"/>
      <c r="CB44" s="434"/>
      <c r="CC44" s="447"/>
      <c r="CD44" s="407"/>
      <c r="CE44" s="407"/>
      <c r="CH44" s="436"/>
      <c r="CI44" s="407"/>
      <c r="CJ44" s="437"/>
      <c r="CN44" s="399"/>
      <c r="CQ44" s="766"/>
    </row>
    <row r="45" spans="2:95" ht="21" hidden="1" customHeight="1" x14ac:dyDescent="0.2">
      <c r="B45" s="621"/>
      <c r="C45" s="494"/>
      <c r="D45" s="815"/>
      <c r="E45" s="563"/>
      <c r="F45" s="567"/>
      <c r="G45" s="567"/>
      <c r="H45" s="601"/>
      <c r="I45" s="578"/>
      <c r="J45" s="578"/>
      <c r="K45" s="578"/>
      <c r="L45" s="579"/>
      <c r="M45" s="568"/>
      <c r="N45" s="568"/>
      <c r="O45" s="568"/>
      <c r="P45" s="568"/>
      <c r="Q45" s="608"/>
      <c r="R45" s="431"/>
      <c r="S45" s="431"/>
      <c r="T45" s="454"/>
      <c r="U45" s="431"/>
      <c r="V45" s="621"/>
      <c r="X45" s="463"/>
      <c r="Y45" s="452"/>
      <c r="AB45" s="734"/>
      <c r="AC45" s="735"/>
      <c r="AD45" s="460"/>
      <c r="BO45" s="446"/>
      <c r="BU45" s="405"/>
      <c r="BV45" s="407"/>
      <c r="CB45" s="434"/>
      <c r="CC45" s="447"/>
      <c r="CD45" s="407"/>
      <c r="CE45" s="407"/>
      <c r="CH45" s="436"/>
      <c r="CI45" s="407"/>
      <c r="CJ45" s="437"/>
      <c r="CN45" s="399"/>
      <c r="CQ45" s="766"/>
    </row>
    <row r="46" spans="2:95" ht="38.25" hidden="1" customHeight="1" x14ac:dyDescent="0.2">
      <c r="B46" s="621"/>
      <c r="C46" s="494"/>
      <c r="D46" s="815"/>
      <c r="E46" s="563" t="s">
        <v>394</v>
      </c>
      <c r="F46" s="788">
        <f>fluxos!B7</f>
        <v>3</v>
      </c>
      <c r="G46" s="788"/>
      <c r="H46" s="746">
        <f ca="1">DATE(YEAR(H40),MONTH(H40)+(F46-F40),DAY(H40))</f>
        <v>43893</v>
      </c>
      <c r="I46" s="796">
        <v>1</v>
      </c>
      <c r="J46" s="809"/>
      <c r="K46" s="797"/>
      <c r="L46" s="783">
        <f>$M$8*Q46/I46</f>
        <v>3232.95</v>
      </c>
      <c r="M46" s="784"/>
      <c r="N46" s="785">
        <f>L46*I46</f>
        <v>3232.95</v>
      </c>
      <c r="O46" s="785"/>
      <c r="P46" s="785"/>
      <c r="Q46" s="607">
        <f>fluxos!D7</f>
        <v>1.4999999999999999E-2</v>
      </c>
      <c r="R46" s="431"/>
      <c r="S46" s="431"/>
      <c r="T46" s="454"/>
      <c r="U46" s="431"/>
      <c r="V46" s="621"/>
      <c r="X46" s="463"/>
      <c r="Y46" s="452"/>
      <c r="AB46" s="734"/>
      <c r="AC46" s="735"/>
      <c r="AD46" s="460"/>
      <c r="BO46" s="446"/>
      <c r="BU46" s="405"/>
      <c r="BV46" s="407"/>
      <c r="CB46" s="434"/>
      <c r="CC46" s="447"/>
      <c r="CD46" s="407"/>
      <c r="CE46" s="407"/>
      <c r="CH46" s="436"/>
      <c r="CI46" s="407"/>
      <c r="CJ46" s="437"/>
      <c r="CN46" s="399"/>
      <c r="CQ46" s="766"/>
    </row>
    <row r="47" spans="2:95" ht="29.25" hidden="1" customHeight="1" x14ac:dyDescent="0.2">
      <c r="B47" s="621"/>
      <c r="C47" s="494"/>
      <c r="D47" s="815"/>
      <c r="E47" s="565"/>
      <c r="F47" s="546"/>
      <c r="G47" s="546"/>
      <c r="H47" s="546"/>
      <c r="I47" s="839"/>
      <c r="J47" s="839"/>
      <c r="K47" s="839"/>
      <c r="L47" s="569"/>
      <c r="M47" s="732"/>
      <c r="N47" s="1032"/>
      <c r="O47" s="1032"/>
      <c r="P47" s="546"/>
      <c r="Q47" s="607"/>
      <c r="R47" s="431"/>
      <c r="S47" s="431"/>
      <c r="T47" s="454"/>
      <c r="U47" s="431"/>
      <c r="V47" s="621"/>
      <c r="X47" s="431"/>
      <c r="Y47" s="452">
        <f>+Y44+H68</f>
        <v>15364.749999999998</v>
      </c>
      <c r="AB47" s="1065"/>
      <c r="AC47" s="1066"/>
      <c r="AD47" s="464"/>
      <c r="BO47" s="446"/>
      <c r="BU47" s="405"/>
      <c r="BV47" s="405"/>
      <c r="CB47" s="434"/>
      <c r="CC47" s="447"/>
      <c r="CD47" s="407"/>
      <c r="CE47" s="407"/>
      <c r="CH47" s="436">
        <f>'DADOS DOS EMPREENDIMENTOS'!A28</f>
        <v>0</v>
      </c>
      <c r="CI47" s="407">
        <f>'DADOS DOS EMPREENDIMENTOS'!B28</f>
        <v>0</v>
      </c>
      <c r="CJ47" s="437">
        <f>'DADOS DOS EMPREENDIMENTOS'!C28</f>
        <v>0</v>
      </c>
      <c r="CN47" s="399"/>
      <c r="CQ47" s="766"/>
    </row>
    <row r="48" spans="2:95" ht="38.25" hidden="1" customHeight="1" x14ac:dyDescent="0.2">
      <c r="B48" s="621"/>
      <c r="C48" s="494"/>
      <c r="D48" s="815"/>
      <c r="E48" s="563" t="str">
        <f>+fluxos!A8</f>
        <v>Anual</v>
      </c>
      <c r="F48" s="796">
        <f>+fluxos!B8</f>
        <v>5</v>
      </c>
      <c r="G48" s="797"/>
      <c r="H48" s="603">
        <f ca="1">DATE(YEAR(H40),MONTH(H40)+(F48-F40),DAY(H40))</f>
        <v>43954</v>
      </c>
      <c r="I48" s="796">
        <f>fluxos!C8</f>
        <v>3</v>
      </c>
      <c r="J48" s="809"/>
      <c r="K48" s="797"/>
      <c r="L48" s="783">
        <f>$M$8*Q48/I48</f>
        <v>2155.2999999999997</v>
      </c>
      <c r="M48" s="784"/>
      <c r="N48" s="783">
        <f>L48*I48</f>
        <v>6465.9</v>
      </c>
      <c r="O48" s="1031"/>
      <c r="P48" s="784"/>
      <c r="Q48" s="607">
        <f>fluxos!D8</f>
        <v>0.03</v>
      </c>
      <c r="R48" s="431"/>
      <c r="S48" s="431"/>
      <c r="T48" s="431"/>
      <c r="U48" s="610"/>
      <c r="V48" s="621"/>
      <c r="X48" s="431"/>
      <c r="Y48" s="457"/>
      <c r="AB48" s="934" t="e">
        <f ca="1">'Proposta 1 Via'!M19</f>
        <v>#REF!</v>
      </c>
      <c r="AC48" s="935"/>
      <c r="AD48" s="936"/>
      <c r="BO48" s="399" t="s">
        <v>158</v>
      </c>
      <c r="BP48" s="399">
        <v>1</v>
      </c>
      <c r="BU48" s="405"/>
      <c r="BV48" s="405"/>
      <c r="CB48" s="434"/>
      <c r="CC48" s="447"/>
      <c r="CD48" s="407"/>
      <c r="CE48" s="407"/>
      <c r="CH48" s="436">
        <f>'DADOS DOS EMPREENDIMENTOS'!A29</f>
        <v>0</v>
      </c>
      <c r="CI48" s="407">
        <f>'DADOS DOS EMPREENDIMENTOS'!B29</f>
        <v>0</v>
      </c>
      <c r="CJ48" s="437">
        <f>'DADOS DOS EMPREENDIMENTOS'!C29</f>
        <v>0</v>
      </c>
      <c r="CN48" s="399"/>
      <c r="CQ48" s="766"/>
    </row>
    <row r="49" spans="2:95" ht="19.5" hidden="1" customHeight="1" x14ac:dyDescent="0.2">
      <c r="B49" s="621"/>
      <c r="C49" s="494"/>
      <c r="D49" s="815"/>
      <c r="E49" s="565"/>
      <c r="F49" s="546"/>
      <c r="G49" s="546"/>
      <c r="H49" s="546"/>
      <c r="I49" s="839"/>
      <c r="J49" s="839"/>
      <c r="K49" s="839"/>
      <c r="L49" s="570"/>
      <c r="M49" s="732"/>
      <c r="N49" s="1032"/>
      <c r="O49" s="1032"/>
      <c r="P49" s="546"/>
      <c r="Q49" s="607"/>
      <c r="R49" s="431"/>
      <c r="S49" s="431"/>
      <c r="T49" s="454"/>
      <c r="U49" s="431"/>
      <c r="V49" s="621"/>
      <c r="X49" s="431"/>
      <c r="Y49" s="457"/>
      <c r="AB49" s="1029"/>
      <c r="AC49" s="1030"/>
      <c r="AD49" s="464"/>
      <c r="BU49" s="405"/>
      <c r="BV49" s="405"/>
      <c r="CB49" s="434"/>
      <c r="CC49" s="447"/>
      <c r="CD49" s="407"/>
      <c r="CE49" s="407"/>
      <c r="CH49" s="436">
        <f>'DADOS DOS EMPREENDIMENTOS'!A30</f>
        <v>0</v>
      </c>
      <c r="CI49" s="407">
        <f>'DADOS DOS EMPREENDIMENTOS'!B30</f>
        <v>0</v>
      </c>
      <c r="CJ49" s="437">
        <f>'DADOS DOS EMPREENDIMENTOS'!C30</f>
        <v>0</v>
      </c>
      <c r="CN49" s="399"/>
      <c r="CQ49" s="766"/>
    </row>
    <row r="50" spans="2:95" ht="19.5" hidden="1" customHeight="1" x14ac:dyDescent="0.2">
      <c r="B50" s="621"/>
      <c r="C50" s="494"/>
      <c r="D50" s="815"/>
      <c r="E50" s="565"/>
      <c r="F50" s="546"/>
      <c r="G50" s="546"/>
      <c r="H50" s="546"/>
      <c r="I50" s="739"/>
      <c r="J50" s="739"/>
      <c r="K50" s="739"/>
      <c r="L50" s="732"/>
      <c r="M50" s="732"/>
      <c r="N50" s="732"/>
      <c r="O50" s="732"/>
      <c r="P50" s="546"/>
      <c r="Q50" s="607"/>
      <c r="R50" s="431"/>
      <c r="S50" s="431"/>
      <c r="T50" s="454"/>
      <c r="U50" s="466"/>
      <c r="V50" s="621"/>
      <c r="X50" s="431"/>
      <c r="Y50" s="467"/>
      <c r="AB50" s="468"/>
      <c r="AC50" s="462"/>
      <c r="AD50" s="464"/>
      <c r="BU50" s="405"/>
      <c r="BV50" s="405"/>
      <c r="CB50" s="434"/>
      <c r="CC50" s="447"/>
      <c r="CD50" s="407"/>
      <c r="CE50" s="407"/>
      <c r="CH50" s="436">
        <f>'DADOS DOS EMPREENDIMENTOS'!A32</f>
        <v>0</v>
      </c>
      <c r="CI50" s="407">
        <f>'DADOS DOS EMPREENDIMENTOS'!B32</f>
        <v>0</v>
      </c>
      <c r="CJ50" s="437">
        <f>'DADOS DOS EMPREENDIMENTOS'!C32</f>
        <v>0</v>
      </c>
      <c r="CN50" s="399"/>
      <c r="CQ50" s="766"/>
    </row>
    <row r="51" spans="2:95" ht="38.25" hidden="1" customHeight="1" x14ac:dyDescent="0.2">
      <c r="B51" s="621"/>
      <c r="C51" s="494"/>
      <c r="D51" s="815"/>
      <c r="E51" s="563" t="str">
        <f>+fluxos!A9</f>
        <v>Mensal 2</v>
      </c>
      <c r="F51" s="814">
        <f>+fluxos!B9</f>
        <v>4</v>
      </c>
      <c r="G51" s="814"/>
      <c r="H51" s="746">
        <f ca="1">DATE(YEAR(H40),MONTH(H40)+(F51-F40),DAY(H40))</f>
        <v>43924</v>
      </c>
      <c r="I51" s="796">
        <f>fluxos!C9</f>
        <v>26</v>
      </c>
      <c r="J51" s="809"/>
      <c r="K51" s="797"/>
      <c r="L51" s="785">
        <f>(M8*Q51)/I51</f>
        <v>911.85769230769233</v>
      </c>
      <c r="M51" s="785"/>
      <c r="N51" s="785">
        <f>L51*I51</f>
        <v>23708.3</v>
      </c>
      <c r="O51" s="785"/>
      <c r="P51" s="785"/>
      <c r="Q51" s="609">
        <f>fluxos!D9</f>
        <v>0.11</v>
      </c>
      <c r="R51" s="431"/>
      <c r="S51" s="431"/>
      <c r="T51" s="454"/>
      <c r="U51" s="469">
        <f>M8*2%</f>
        <v>4310.6000000000004</v>
      </c>
      <c r="V51" s="621"/>
      <c r="X51" s="431"/>
      <c r="Y51" s="470">
        <f>M8*4.5%/2</f>
        <v>4849.4250000000002</v>
      </c>
      <c r="AB51" s="934" t="e">
        <f ca="1">'Proposta 1 Via'!M20</f>
        <v>#REF!</v>
      </c>
      <c r="AC51" s="935"/>
      <c r="AD51" s="936"/>
      <c r="BU51" s="405"/>
      <c r="BV51" s="405"/>
      <c r="CB51" s="434"/>
      <c r="CC51" s="447"/>
      <c r="CD51" s="407"/>
      <c r="CE51" s="407"/>
      <c r="CH51" s="436">
        <f>'DADOS DOS EMPREENDIMENTOS'!A33</f>
        <v>0</v>
      </c>
      <c r="CI51" s="407">
        <f>'DADOS DOS EMPREENDIMENTOS'!B33</f>
        <v>0</v>
      </c>
      <c r="CJ51" s="437">
        <f>'DADOS DOS EMPREENDIMENTOS'!C33</f>
        <v>0</v>
      </c>
      <c r="CN51" s="399"/>
      <c r="CQ51" s="766"/>
    </row>
    <row r="52" spans="2:95" ht="19.5" hidden="1" customHeight="1" x14ac:dyDescent="0.2">
      <c r="B52" s="621"/>
      <c r="C52" s="494"/>
      <c r="D52" s="815"/>
      <c r="E52" s="565"/>
      <c r="F52" s="546"/>
      <c r="G52" s="546"/>
      <c r="H52" s="546"/>
      <c r="I52" s="839"/>
      <c r="J52" s="839"/>
      <c r="K52" s="839"/>
      <c r="L52" s="570"/>
      <c r="M52" s="732"/>
      <c r="N52" s="1032"/>
      <c r="O52" s="1032"/>
      <c r="P52" s="546"/>
      <c r="Q52" s="607"/>
      <c r="R52" s="431"/>
      <c r="S52" s="431"/>
      <c r="T52" s="454"/>
      <c r="U52" s="431"/>
      <c r="V52" s="621"/>
      <c r="X52" s="431"/>
      <c r="Y52" s="457"/>
      <c r="AB52" s="1029"/>
      <c r="AC52" s="1030"/>
      <c r="AD52" s="464"/>
      <c r="BU52" s="405"/>
      <c r="BV52" s="405"/>
      <c r="CB52" s="434"/>
      <c r="CC52" s="447"/>
      <c r="CD52" s="407"/>
      <c r="CE52" s="407"/>
      <c r="CH52" s="436">
        <f>'DADOS DOS EMPREENDIMENTOS'!A34</f>
        <v>0</v>
      </c>
      <c r="CI52" s="407">
        <f>'DADOS DOS EMPREENDIMENTOS'!B34</f>
        <v>0</v>
      </c>
      <c r="CJ52" s="437">
        <f>'DADOS DOS EMPREENDIMENTOS'!C34</f>
        <v>0</v>
      </c>
      <c r="CN52" s="399"/>
      <c r="CQ52" s="766"/>
    </row>
    <row r="53" spans="2:95" ht="19.5" hidden="1" customHeight="1" x14ac:dyDescent="0.2">
      <c r="B53" s="621"/>
      <c r="C53" s="494"/>
      <c r="D53" s="815"/>
      <c r="E53" s="565"/>
      <c r="F53" s="546"/>
      <c r="G53" s="546"/>
      <c r="H53" s="546"/>
      <c r="I53" s="739"/>
      <c r="J53" s="739"/>
      <c r="K53" s="739"/>
      <c r="L53" s="732"/>
      <c r="M53" s="732"/>
      <c r="N53" s="732"/>
      <c r="O53" s="732"/>
      <c r="P53" s="546"/>
      <c r="Q53" s="736"/>
      <c r="R53" s="431"/>
      <c r="S53" s="431"/>
      <c r="T53" s="454"/>
      <c r="U53" s="431"/>
      <c r="V53" s="621"/>
      <c r="X53" s="431"/>
      <c r="Y53" s="471"/>
      <c r="AB53" s="468"/>
      <c r="AC53" s="462"/>
      <c r="AD53" s="464"/>
      <c r="BU53" s="405"/>
      <c r="BV53" s="405"/>
      <c r="CB53" s="434"/>
      <c r="CC53" s="447"/>
      <c r="CD53" s="407"/>
      <c r="CE53" s="407"/>
      <c r="CH53" s="436"/>
      <c r="CI53" s="407"/>
      <c r="CJ53" s="437"/>
      <c r="CN53" s="399"/>
      <c r="CQ53" s="766"/>
    </row>
    <row r="54" spans="2:95" ht="38.25" hidden="1" customHeight="1" x14ac:dyDescent="0.2">
      <c r="B54" s="621"/>
      <c r="C54" s="494"/>
      <c r="D54" s="815"/>
      <c r="E54" s="563" t="str">
        <f>+fluxos!A10</f>
        <v>Repasse</v>
      </c>
      <c r="F54" s="1051">
        <f>fluxos!B10</f>
        <v>4</v>
      </c>
      <c r="G54" s="1051"/>
      <c r="H54" s="746">
        <f ca="1">DATE(YEAR(H40),MONTH(H40)+(F54-F40)+0,DAY(H40))</f>
        <v>43924</v>
      </c>
      <c r="I54" s="796">
        <v>1</v>
      </c>
      <c r="J54" s="809"/>
      <c r="K54" s="797"/>
      <c r="L54" s="1052">
        <f>M8-N40-N42-N44-N48-N51-N46</f>
        <v>172423.99999999997</v>
      </c>
      <c r="M54" s="1052"/>
      <c r="N54" s="785">
        <f>L54*I54</f>
        <v>172423.99999999997</v>
      </c>
      <c r="O54" s="785"/>
      <c r="P54" s="785"/>
      <c r="Q54" s="609">
        <v>0.8</v>
      </c>
      <c r="R54" s="431"/>
      <c r="S54" s="431"/>
      <c r="T54" s="454"/>
      <c r="U54" s="431"/>
      <c r="V54" s="621"/>
      <c r="X54" s="431"/>
      <c r="Y54" s="471"/>
      <c r="AB54" s="934" t="e">
        <f ca="1">'Proposta 1 Via'!M21</f>
        <v>#REF!</v>
      </c>
      <c r="AC54" s="935"/>
      <c r="AD54" s="936"/>
      <c r="BU54" s="405"/>
      <c r="BV54" s="405"/>
      <c r="CB54" s="434"/>
      <c r="CC54" s="447"/>
      <c r="CD54" s="407"/>
      <c r="CE54" s="407"/>
      <c r="CH54" s="436">
        <f>'DADOS DOS EMPREENDIMENTOS'!A35</f>
        <v>0</v>
      </c>
      <c r="CI54" s="407">
        <f>'DADOS DOS EMPREENDIMENTOS'!B35</f>
        <v>0</v>
      </c>
      <c r="CJ54" s="437">
        <f>'DADOS DOS EMPREENDIMENTOS'!C35</f>
        <v>0</v>
      </c>
      <c r="CN54" s="399"/>
      <c r="CQ54" s="766"/>
    </row>
    <row r="55" spans="2:95" ht="19.5" hidden="1" customHeight="1" x14ac:dyDescent="0.2">
      <c r="B55" s="621"/>
      <c r="C55" s="494"/>
      <c r="D55" s="815"/>
      <c r="E55" s="472"/>
      <c r="F55" s="546"/>
      <c r="G55" s="546"/>
      <c r="H55" s="546"/>
      <c r="I55" s="438"/>
      <c r="J55" s="438"/>
      <c r="K55" s="571"/>
      <c r="L55" s="438"/>
      <c r="M55" s="546"/>
      <c r="N55" s="547"/>
      <c r="O55" s="547"/>
      <c r="P55" s="546"/>
      <c r="Q55" s="431"/>
      <c r="R55" s="431"/>
      <c r="S55" s="431"/>
      <c r="T55" s="454"/>
      <c r="U55" s="431"/>
      <c r="V55" s="621"/>
      <c r="W55" s="572"/>
      <c r="X55" s="573"/>
      <c r="Y55" s="471"/>
      <c r="AB55" s="474"/>
      <c r="AC55" s="473"/>
      <c r="AD55" s="475"/>
      <c r="BU55" s="405"/>
      <c r="BV55" s="405"/>
      <c r="CB55" s="434"/>
      <c r="CC55" s="447"/>
      <c r="CD55" s="407"/>
      <c r="CE55" s="407"/>
      <c r="CH55" s="436">
        <f>'DADOS DOS EMPREENDIMENTOS'!A36</f>
        <v>0</v>
      </c>
      <c r="CI55" s="407">
        <f>'DADOS DOS EMPREENDIMENTOS'!B36</f>
        <v>0</v>
      </c>
      <c r="CJ55" s="437">
        <f>'DADOS DOS EMPREENDIMENTOS'!C36</f>
        <v>0</v>
      </c>
      <c r="CN55" s="399"/>
      <c r="CQ55" s="766"/>
    </row>
    <row r="56" spans="2:95" ht="38.25" hidden="1" customHeight="1" x14ac:dyDescent="0.2">
      <c r="B56" s="621"/>
      <c r="C56" s="494"/>
      <c r="D56" s="815"/>
      <c r="E56" s="472"/>
      <c r="F56" s="546"/>
      <c r="G56" s="546"/>
      <c r="H56" s="494"/>
      <c r="I56" s="576"/>
      <c r="J56" s="577"/>
      <c r="K56" s="546"/>
      <c r="L56" s="808" t="s">
        <v>60</v>
      </c>
      <c r="M56" s="808"/>
      <c r="N56" s="785">
        <f>SUM(N54,N42,N44,N51,N48,N40,N46)</f>
        <v>215530</v>
      </c>
      <c r="O56" s="785"/>
      <c r="P56" s="785"/>
      <c r="Q56" s="431"/>
      <c r="R56" s="431"/>
      <c r="S56" s="431"/>
      <c r="T56" s="454"/>
      <c r="U56" s="431"/>
      <c r="V56" s="621"/>
      <c r="Y56" s="471"/>
      <c r="AB56" s="1026" t="e">
        <f>SUM(AB54,AB51,#REF!,AB48,AB40,AB42,AB44,#REF!)</f>
        <v>#REF!</v>
      </c>
      <c r="AC56" s="1027"/>
      <c r="AD56" s="1028"/>
      <c r="BU56" s="405"/>
      <c r="BV56" s="405"/>
      <c r="CB56" s="434"/>
      <c r="CC56" s="447"/>
      <c r="CD56" s="407"/>
      <c r="CE56" s="407"/>
      <c r="CH56" s="436">
        <f>'DADOS DOS EMPREENDIMENTOS'!A37</f>
        <v>0</v>
      </c>
      <c r="CI56" s="407">
        <f>'DADOS DOS EMPREENDIMENTOS'!B37</f>
        <v>0</v>
      </c>
      <c r="CJ56" s="437">
        <f>'DADOS DOS EMPREENDIMENTOS'!C37</f>
        <v>0</v>
      </c>
      <c r="CN56" s="399"/>
      <c r="CQ56" s="766"/>
    </row>
    <row r="57" spans="2:95" ht="15" hidden="1" customHeight="1" x14ac:dyDescent="0.2">
      <c r="B57" s="621"/>
      <c r="C57" s="494"/>
      <c r="D57" s="816"/>
      <c r="E57" s="476"/>
      <c r="F57" s="476"/>
      <c r="G57" s="476"/>
      <c r="H57" s="476"/>
      <c r="I57" s="476"/>
      <c r="J57" s="476"/>
      <c r="K57" s="476"/>
      <c r="L57" s="476"/>
      <c r="M57" s="476"/>
      <c r="N57" s="476"/>
      <c r="O57" s="476"/>
      <c r="P57" s="476"/>
      <c r="Q57" s="476"/>
      <c r="R57" s="476"/>
      <c r="S57" s="476"/>
      <c r="T57" s="477"/>
      <c r="U57" s="431"/>
      <c r="V57" s="621"/>
      <c r="Y57" s="471"/>
      <c r="BU57" s="405"/>
      <c r="BV57" s="405"/>
      <c r="CB57" s="434"/>
      <c r="CC57" s="447"/>
      <c r="CD57" s="407"/>
      <c r="CE57" s="407"/>
      <c r="CH57" s="436">
        <f>'DADOS DOS EMPREENDIMENTOS'!A38</f>
        <v>0</v>
      </c>
      <c r="CI57" s="407">
        <f>'DADOS DOS EMPREENDIMENTOS'!B38</f>
        <v>0</v>
      </c>
      <c r="CJ57" s="437">
        <f>'DADOS DOS EMPREENDIMENTOS'!C38</f>
        <v>0</v>
      </c>
      <c r="CN57" s="399"/>
      <c r="CQ57" s="766"/>
    </row>
    <row r="58" spans="2:95" ht="9.75" hidden="1" customHeight="1" thickBot="1" x14ac:dyDescent="0.25">
      <c r="B58" s="621"/>
      <c r="C58" s="494"/>
      <c r="D58" s="591"/>
      <c r="E58" s="591"/>
      <c r="F58" s="591"/>
      <c r="G58" s="591"/>
      <c r="H58" s="591"/>
      <c r="I58" s="591"/>
      <c r="J58" s="591"/>
      <c r="K58" s="591"/>
      <c r="L58" s="591"/>
      <c r="M58" s="591"/>
      <c r="N58" s="591"/>
      <c r="O58" s="591"/>
      <c r="P58" s="591"/>
      <c r="Q58" s="591"/>
      <c r="R58" s="591"/>
      <c r="S58" s="591"/>
      <c r="T58" s="591"/>
      <c r="U58" s="605"/>
      <c r="V58" s="621"/>
      <c r="Y58" s="471"/>
      <c r="BU58" s="405"/>
      <c r="BV58" s="405"/>
      <c r="CB58" s="434"/>
      <c r="CC58" s="447"/>
      <c r="CD58" s="407"/>
      <c r="CE58" s="407"/>
      <c r="CH58" s="436">
        <f>'DADOS DOS EMPREENDIMENTOS'!A39</f>
        <v>0</v>
      </c>
      <c r="CI58" s="407">
        <f>'DADOS DOS EMPREENDIMENTOS'!B39</f>
        <v>0</v>
      </c>
      <c r="CJ58" s="437">
        <f>'DADOS DOS EMPREENDIMENTOS'!C39</f>
        <v>0</v>
      </c>
      <c r="CN58" s="399"/>
      <c r="CQ58" s="766"/>
    </row>
    <row r="59" spans="2:95" ht="24" hidden="1" customHeight="1" thickBot="1" x14ac:dyDescent="0.25">
      <c r="B59" s="621"/>
      <c r="C59" s="494"/>
      <c r="D59" s="605"/>
      <c r="E59" s="591"/>
      <c r="F59" s="591"/>
      <c r="G59" s="591"/>
      <c r="H59" s="591"/>
      <c r="I59" s="591"/>
      <c r="J59" s="591"/>
      <c r="K59" s="591"/>
      <c r="L59" s="591"/>
      <c r="M59" s="591"/>
      <c r="N59" s="591"/>
      <c r="O59" s="591"/>
      <c r="P59" s="591"/>
      <c r="Q59" s="591"/>
      <c r="R59" s="591"/>
      <c r="S59" s="591"/>
      <c r="T59" s="605"/>
      <c r="U59" s="605"/>
      <c r="V59" s="621"/>
      <c r="Y59" s="1036" t="e">
        <f>CONCATENATE("Valor da parcela para zerar o PV",IF(AI114&gt;=AQ114,".",""))</f>
        <v>#REF!</v>
      </c>
      <c r="BU59" s="405"/>
      <c r="BV59" s="405"/>
      <c r="CB59" s="434"/>
      <c r="CC59" s="447"/>
      <c r="CD59" s="407"/>
      <c r="CE59" s="407"/>
      <c r="CH59" s="436">
        <f>'DADOS DOS EMPREENDIMENTOS'!A40</f>
        <v>0</v>
      </c>
      <c r="CI59" s="407">
        <f>'DADOS DOS EMPREENDIMENTOS'!B40</f>
        <v>0</v>
      </c>
      <c r="CJ59" s="437">
        <f>'DADOS DOS EMPREENDIMENTOS'!C40</f>
        <v>0</v>
      </c>
      <c r="CN59" s="399"/>
      <c r="CQ59" s="766"/>
    </row>
    <row r="60" spans="2:95" ht="15" customHeight="1" x14ac:dyDescent="0.2">
      <c r="B60" s="621"/>
      <c r="C60" s="494"/>
      <c r="D60" s="791" t="s">
        <v>390</v>
      </c>
      <c r="E60" s="449"/>
      <c r="F60" s="810" t="s">
        <v>160</v>
      </c>
      <c r="G60" s="810"/>
      <c r="H60" s="810" t="s">
        <v>162</v>
      </c>
      <c r="I60" s="810"/>
      <c r="J60" s="810" t="s">
        <v>166</v>
      </c>
      <c r="K60" s="810"/>
      <c r="L60" s="810" t="s">
        <v>161</v>
      </c>
      <c r="M60" s="810"/>
      <c r="N60" s="810" t="s">
        <v>60</v>
      </c>
      <c r="O60" s="810"/>
      <c r="P60" s="810"/>
      <c r="Q60" s="449"/>
      <c r="R60" s="449"/>
      <c r="S60" s="449"/>
      <c r="T60" s="449"/>
      <c r="U60" s="621"/>
      <c r="V60" s="621"/>
      <c r="Y60" s="1037"/>
      <c r="BU60" s="405"/>
      <c r="BV60" s="405"/>
      <c r="CB60" s="434"/>
      <c r="CC60" s="447"/>
      <c r="CD60" s="407"/>
      <c r="CE60" s="407"/>
      <c r="CH60" s="436">
        <f>'DADOS DOS EMPREENDIMENTOS'!A41</f>
        <v>0</v>
      </c>
      <c r="CI60" s="407">
        <f>'DADOS DOS EMPREENDIMENTOS'!B41</f>
        <v>0</v>
      </c>
      <c r="CJ60" s="437">
        <f>'DADOS DOS EMPREENDIMENTOS'!C41</f>
        <v>0</v>
      </c>
      <c r="CN60" s="399"/>
      <c r="CQ60" s="766"/>
    </row>
    <row r="61" spans="2:95" ht="25.5" customHeight="1" thickBot="1" x14ac:dyDescent="0.25">
      <c r="B61" s="621"/>
      <c r="C61" s="494"/>
      <c r="D61" s="792"/>
      <c r="E61" s="431"/>
      <c r="F61" s="808"/>
      <c r="G61" s="808"/>
      <c r="H61" s="808"/>
      <c r="I61" s="808"/>
      <c r="J61" s="808" t="s">
        <v>166</v>
      </c>
      <c r="K61" s="808"/>
      <c r="L61" s="808"/>
      <c r="M61" s="808"/>
      <c r="N61" s="808"/>
      <c r="O61" s="808"/>
      <c r="P61" s="808"/>
      <c r="Q61" s="431"/>
      <c r="R61" s="431"/>
      <c r="S61" s="431"/>
      <c r="T61" s="431"/>
      <c r="U61" s="621"/>
      <c r="V61" s="621"/>
      <c r="Y61" s="1038"/>
      <c r="AE61" s="1033" t="s">
        <v>163</v>
      </c>
      <c r="AF61" s="1034"/>
      <c r="AG61" s="1035"/>
      <c r="BU61" s="405"/>
      <c r="BV61" s="405"/>
      <c r="CB61" s="434"/>
      <c r="CC61" s="447"/>
      <c r="CD61" s="407"/>
      <c r="CE61" s="407"/>
      <c r="CH61" s="436">
        <f>'DADOS DOS EMPREENDIMENTOS'!A42</f>
        <v>0</v>
      </c>
      <c r="CI61" s="407">
        <f>'DADOS DOS EMPREENDIMENTOS'!B42</f>
        <v>0</v>
      </c>
      <c r="CJ61" s="437">
        <f>'DADOS DOS EMPREENDIMENTOS'!C42</f>
        <v>0</v>
      </c>
      <c r="CN61" s="399"/>
      <c r="CQ61" s="766"/>
    </row>
    <row r="62" spans="2:95" ht="38.25" customHeight="1" thickBot="1" x14ac:dyDescent="0.25">
      <c r="B62" s="621"/>
      <c r="C62" s="494"/>
      <c r="D62" s="792"/>
      <c r="E62" s="738" t="s">
        <v>44</v>
      </c>
      <c r="F62" s="787">
        <v>1</v>
      </c>
      <c r="G62" s="787"/>
      <c r="H62" s="823">
        <v>800</v>
      </c>
      <c r="I62" s="823"/>
      <c r="J62" s="787">
        <v>0</v>
      </c>
      <c r="K62" s="787"/>
      <c r="L62" s="807">
        <f ca="1">IF(H10&lt;43647,43647,H10)</f>
        <v>43802</v>
      </c>
      <c r="M62" s="807"/>
      <c r="N62" s="798">
        <f>F62*H62</f>
        <v>800</v>
      </c>
      <c r="O62" s="798"/>
      <c r="P62" s="798"/>
      <c r="Q62" s="840" t="str">
        <f>IF((N62+N64+N68)&lt;'Premissas e Calculos'!$J$33,"Entrada Menor que de Tabela",IF(F62&lt;&gt;0,IF(N62&lt;'Premissas e Calculos'!$J$33,CONCATENATE("1ª parcela do ato insuficiente, mínimo de R$ ",'Premissas e Calculos'!$J$33," 
nessa parcela."),IF(F62&gt;I40,CONCATENATE("Parcela no máximo em ",I40," vez"),"OK")),"Informar Entrada"))</f>
        <v>OK</v>
      </c>
      <c r="R62" s="840"/>
      <c r="S62" s="840"/>
      <c r="T62" s="431"/>
      <c r="U62" s="621"/>
      <c r="V62" s="621"/>
      <c r="Y62" s="478" t="e">
        <f ca="1">IF('Proposta 1 Via'!P39&gt;0,'Proposta 1 Via'!P39,0)</f>
        <v>#REF!</v>
      </c>
      <c r="AE62" s="934" t="e">
        <f ca="1">'Proposta 1 Via'!M39</f>
        <v>#REF!</v>
      </c>
      <c r="AF62" s="935"/>
      <c r="AG62" s="936"/>
      <c r="BU62" s="405"/>
      <c r="BV62" s="405"/>
      <c r="CB62" s="434"/>
      <c r="CC62" s="447"/>
      <c r="CD62" s="407"/>
      <c r="CE62" s="407"/>
      <c r="CN62" s="399"/>
      <c r="CQ62" s="766"/>
    </row>
    <row r="63" spans="2:95" ht="15" customHeight="1" thickBot="1" x14ac:dyDescent="0.25">
      <c r="B63" s="621"/>
      <c r="C63" s="494"/>
      <c r="D63" s="792"/>
      <c r="E63" s="738"/>
      <c r="F63" s="669"/>
      <c r="G63" s="669"/>
      <c r="H63" s="669"/>
      <c r="I63" s="702"/>
      <c r="J63" s="700"/>
      <c r="K63" s="700"/>
      <c r="L63" s="699"/>
      <c r="M63" s="548"/>
      <c r="N63" s="705"/>
      <c r="O63" s="705"/>
      <c r="P63" s="548"/>
      <c r="Q63" s="431"/>
      <c r="R63" s="480"/>
      <c r="S63" s="473"/>
      <c r="T63" s="622"/>
      <c r="U63" s="431"/>
      <c r="V63" s="621"/>
      <c r="Y63" s="481"/>
      <c r="AE63" s="468"/>
      <c r="AF63" s="462"/>
      <c r="AG63" s="464"/>
      <c r="BU63" s="405">
        <v>24</v>
      </c>
      <c r="BV63" s="405"/>
      <c r="CB63" s="434"/>
      <c r="CC63" s="447"/>
      <c r="CD63" s="407"/>
      <c r="CE63" s="407"/>
      <c r="CN63" s="399"/>
      <c r="CQ63" s="766"/>
    </row>
    <row r="64" spans="2:95" ht="38.25" customHeight="1" thickBot="1" x14ac:dyDescent="0.25">
      <c r="B64" s="621"/>
      <c r="C64" s="494"/>
      <c r="D64" s="792"/>
      <c r="E64" s="738" t="s">
        <v>383</v>
      </c>
      <c r="F64" s="769">
        <v>1</v>
      </c>
      <c r="G64" s="769"/>
      <c r="H64" s="823">
        <v>0</v>
      </c>
      <c r="I64" s="823"/>
      <c r="J64" s="834">
        <v>1</v>
      </c>
      <c r="K64" s="834"/>
      <c r="L64" s="807">
        <f ca="1">DATE(YEAR(L62),MONTH(L62)+(J64-J62),1)</f>
        <v>43831</v>
      </c>
      <c r="M64" s="807"/>
      <c r="N64" s="798">
        <f>F64*H64</f>
        <v>0</v>
      </c>
      <c r="O64" s="798"/>
      <c r="P64" s="798"/>
      <c r="Q64" s="828"/>
      <c r="R64" s="828"/>
      <c r="S64" s="828"/>
      <c r="T64" s="431"/>
      <c r="U64" s="621"/>
      <c r="V64" s="621"/>
      <c r="Y64" s="478" t="e">
        <f ca="1">IF('Proposta 1 Via'!P40&gt;0,'Proposta 1 Via'!P40,0)</f>
        <v>#REF!</v>
      </c>
      <c r="AE64" s="934" t="e">
        <f ca="1">'Proposta 1 Via'!M40</f>
        <v>#REF!</v>
      </c>
      <c r="AF64" s="935"/>
      <c r="AG64" s="936"/>
      <c r="BU64" s="405"/>
      <c r="BV64" s="405"/>
      <c r="CB64" s="434"/>
      <c r="CC64" s="447"/>
      <c r="CD64" s="407"/>
      <c r="CE64" s="407"/>
      <c r="CN64" s="399"/>
      <c r="CQ64" s="766"/>
    </row>
    <row r="65" spans="2:95" ht="15" customHeight="1" thickBot="1" x14ac:dyDescent="0.25">
      <c r="B65" s="621"/>
      <c r="C65" s="494"/>
      <c r="D65" s="792"/>
      <c r="E65" s="738"/>
      <c r="F65" s="669"/>
      <c r="G65" s="669"/>
      <c r="H65" s="669"/>
      <c r="I65" s="702"/>
      <c r="J65" s="700"/>
      <c r="K65" s="700"/>
      <c r="L65" s="699"/>
      <c r="M65" s="548"/>
      <c r="N65" s="705"/>
      <c r="O65" s="705"/>
      <c r="P65" s="548"/>
      <c r="Q65" s="428"/>
      <c r="R65" s="695"/>
      <c r="S65" s="696"/>
      <c r="T65" s="622"/>
      <c r="U65" s="431"/>
      <c r="V65" s="621"/>
      <c r="Y65" s="481"/>
      <c r="AE65" s="468"/>
      <c r="AF65" s="462"/>
      <c r="AG65" s="464"/>
      <c r="BU65" s="405"/>
      <c r="BV65" s="405"/>
      <c r="CB65" s="434"/>
      <c r="CC65" s="447"/>
      <c r="CD65" s="407"/>
      <c r="CE65" s="407"/>
      <c r="CN65" s="399"/>
      <c r="CQ65" s="766"/>
    </row>
    <row r="66" spans="2:95" ht="26.25" hidden="1" customHeight="1" thickBot="1" x14ac:dyDescent="0.25">
      <c r="B66" s="621"/>
      <c r="C66" s="494"/>
      <c r="D66" s="792"/>
      <c r="E66" s="738" t="s">
        <v>158</v>
      </c>
      <c r="F66" s="1053">
        <v>0</v>
      </c>
      <c r="G66" s="1054"/>
      <c r="H66" s="1055">
        <v>0</v>
      </c>
      <c r="I66" s="1055"/>
      <c r="J66" s="1049">
        <v>2</v>
      </c>
      <c r="K66" s="1050"/>
      <c r="L66" s="789">
        <f ca="1">DATE(YEAR(L62),MONTH(L62)+(J66-J62),1)</f>
        <v>43862</v>
      </c>
      <c r="M66" s="790"/>
      <c r="N66" s="818">
        <f>F66*H66</f>
        <v>0</v>
      </c>
      <c r="O66" s="819"/>
      <c r="P66" s="820"/>
      <c r="Q66" s="829" t="str">
        <f>IF(F66&lt;&gt;0,IF(N66&lt;'Simulador CEF'!X44,CONCATENATE("parcela de entrada insuficiente, mínimo de R$ ",'Simulador CEF'!X44," 
nessa parcela."),IF(F66&gt;I44, CONCATENATE("Parcela no máximo em ",I44," vez"),"OK")),"Informar Entrada")</f>
        <v>Informar Entrada</v>
      </c>
      <c r="R66" s="830"/>
      <c r="S66" s="830"/>
      <c r="T66" s="622"/>
      <c r="U66" s="431"/>
      <c r="V66" s="621"/>
      <c r="Y66" s="482">
        <f>IF('Proposta 1 Via'!P41&gt;0,'Proposta 1 Via'!P41,0)</f>
        <v>0</v>
      </c>
      <c r="AE66" s="934">
        <f>'Proposta 1 Via'!M41</f>
        <v>0</v>
      </c>
      <c r="AF66" s="935"/>
      <c r="AG66" s="936"/>
      <c r="BU66" s="405"/>
      <c r="BV66" s="405"/>
      <c r="CB66" s="434"/>
      <c r="CC66" s="447"/>
      <c r="CD66" s="407"/>
      <c r="CE66" s="407"/>
      <c r="CN66" s="399"/>
      <c r="CQ66" s="766"/>
    </row>
    <row r="67" spans="2:95" ht="21" hidden="1" customHeight="1" thickBot="1" x14ac:dyDescent="0.25">
      <c r="B67" s="621"/>
      <c r="C67" s="494"/>
      <c r="D67" s="792"/>
      <c r="E67" s="738"/>
      <c r="F67" s="669"/>
      <c r="G67" s="669"/>
      <c r="H67" s="669"/>
      <c r="I67" s="702"/>
      <c r="J67" s="700"/>
      <c r="K67" s="700"/>
      <c r="L67" s="699"/>
      <c r="M67" s="548"/>
      <c r="N67" s="705"/>
      <c r="O67" s="705"/>
      <c r="P67" s="548"/>
      <c r="Q67" s="428"/>
      <c r="R67" s="695"/>
      <c r="S67" s="696"/>
      <c r="T67" s="622"/>
      <c r="U67" s="431"/>
      <c r="V67" s="621"/>
      <c r="Y67" s="481"/>
      <c r="AE67" s="468"/>
      <c r="AF67" s="462"/>
      <c r="AG67" s="464"/>
      <c r="BU67" s="405"/>
      <c r="BV67" s="405"/>
      <c r="CB67" s="434"/>
      <c r="CC67" s="447"/>
      <c r="CD67" s="407"/>
      <c r="CE67" s="407"/>
      <c r="CN67" s="399"/>
      <c r="CQ67" s="766"/>
    </row>
    <row r="68" spans="2:95" ht="38.25" customHeight="1" thickBot="1" x14ac:dyDescent="0.25">
      <c r="B68" s="621"/>
      <c r="C68" s="494"/>
      <c r="D68" s="792"/>
      <c r="E68" s="738" t="s">
        <v>393</v>
      </c>
      <c r="F68" s="769">
        <v>1</v>
      </c>
      <c r="G68" s="769"/>
      <c r="H68" s="823">
        <v>0</v>
      </c>
      <c r="I68" s="823"/>
      <c r="J68" s="834">
        <v>2</v>
      </c>
      <c r="K68" s="834"/>
      <c r="L68" s="807">
        <f ca="1">DATE(YEAR(L62),MONTH(L62)+(J68-J62),1)</f>
        <v>43862</v>
      </c>
      <c r="M68" s="807"/>
      <c r="N68" s="798">
        <f>F68*H68</f>
        <v>0</v>
      </c>
      <c r="O68" s="798"/>
      <c r="P68" s="798"/>
      <c r="Q68" s="828"/>
      <c r="R68" s="828"/>
      <c r="S68" s="828"/>
      <c r="T68" s="622"/>
      <c r="U68" s="431"/>
      <c r="V68" s="621"/>
      <c r="Y68" s="478" t="e">
        <f ca="1">IF('Proposta 1 Via'!P42&gt;0,'Proposta 1 Via'!P42,0)</f>
        <v>#REF!</v>
      </c>
      <c r="AE68" s="934" t="e">
        <f ca="1">'Proposta 1 Via'!M42</f>
        <v>#REF!</v>
      </c>
      <c r="AF68" s="935"/>
      <c r="AG68" s="936"/>
      <c r="BU68" s="405"/>
      <c r="BV68" s="405"/>
      <c r="CB68" s="434"/>
      <c r="CC68" s="447"/>
      <c r="CD68" s="407"/>
      <c r="CE68" s="407"/>
      <c r="CN68" s="483"/>
      <c r="CQ68" s="766"/>
    </row>
    <row r="69" spans="2:95" ht="12" customHeight="1" x14ac:dyDescent="0.2">
      <c r="B69" s="621"/>
      <c r="C69" s="494"/>
      <c r="D69" s="792"/>
      <c r="E69" s="738"/>
      <c r="F69" s="703"/>
      <c r="G69" s="703"/>
      <c r="H69" s="704"/>
      <c r="I69" s="704"/>
      <c r="J69" s="701"/>
      <c r="K69" s="701"/>
      <c r="L69" s="750"/>
      <c r="M69" s="750"/>
      <c r="N69" s="706"/>
      <c r="O69" s="706"/>
      <c r="P69" s="706"/>
      <c r="Q69" s="749"/>
      <c r="R69" s="749"/>
      <c r="S69" s="749"/>
      <c r="T69" s="622"/>
      <c r="U69" s="431"/>
      <c r="V69" s="621"/>
      <c r="Y69" s="484"/>
      <c r="AE69" s="458"/>
      <c r="AF69" s="459"/>
      <c r="AG69" s="460"/>
      <c r="BU69" s="405"/>
      <c r="BV69" s="405"/>
      <c r="CB69" s="434"/>
      <c r="CC69" s="447"/>
      <c r="CD69" s="407"/>
      <c r="CE69" s="407"/>
      <c r="CN69" s="483"/>
      <c r="CQ69" s="766"/>
    </row>
    <row r="70" spans="2:95" ht="38.25" customHeight="1" x14ac:dyDescent="0.2">
      <c r="B70" s="621"/>
      <c r="C70" s="494"/>
      <c r="D70" s="792"/>
      <c r="E70" s="738" t="s">
        <v>394</v>
      </c>
      <c r="F70" s="769">
        <v>1</v>
      </c>
      <c r="G70" s="769"/>
      <c r="H70" s="823">
        <v>0</v>
      </c>
      <c r="I70" s="823"/>
      <c r="J70" s="834">
        <v>3</v>
      </c>
      <c r="K70" s="834"/>
      <c r="L70" s="807">
        <f ca="1">DATE(YEAR(L62),MONTH(L62)+(J70-J62),1)</f>
        <v>43891</v>
      </c>
      <c r="M70" s="807"/>
      <c r="N70" s="798">
        <f>F70*H70</f>
        <v>0</v>
      </c>
      <c r="O70" s="798"/>
      <c r="P70" s="798"/>
      <c r="Q70" s="749"/>
      <c r="R70" s="749"/>
      <c r="S70" s="749"/>
      <c r="T70" s="622"/>
      <c r="U70" s="431"/>
      <c r="V70" s="621"/>
      <c r="Y70" s="484"/>
      <c r="AE70" s="458"/>
      <c r="AF70" s="459"/>
      <c r="AG70" s="460"/>
      <c r="BU70" s="405"/>
      <c r="BV70" s="405"/>
      <c r="CB70" s="434"/>
      <c r="CC70" s="447"/>
      <c r="CD70" s="407"/>
      <c r="CE70" s="407"/>
      <c r="CN70" s="483"/>
      <c r="CQ70" s="766"/>
    </row>
    <row r="71" spans="2:95" ht="14.25" customHeight="1" thickBot="1" x14ac:dyDescent="0.25">
      <c r="B71" s="621"/>
      <c r="C71" s="494"/>
      <c r="D71" s="792"/>
      <c r="E71" s="738"/>
      <c r="F71" s="669"/>
      <c r="G71" s="669"/>
      <c r="H71" s="669"/>
      <c r="I71" s="702"/>
      <c r="J71" s="700"/>
      <c r="K71" s="700"/>
      <c r="L71" s="699"/>
      <c r="M71" s="548"/>
      <c r="N71" s="705"/>
      <c r="O71" s="705"/>
      <c r="P71" s="548"/>
      <c r="Q71" s="431"/>
      <c r="R71" s="480"/>
      <c r="S71" s="473"/>
      <c r="T71" s="622"/>
      <c r="U71" s="431"/>
      <c r="V71" s="621"/>
      <c r="Y71" s="481"/>
      <c r="AB71" s="485" t="s">
        <v>235</v>
      </c>
      <c r="AC71" s="486"/>
      <c r="AE71" s="468"/>
      <c r="AF71" s="462"/>
      <c r="AG71" s="464"/>
      <c r="BU71" s="405"/>
      <c r="BV71" s="405"/>
      <c r="CB71" s="434"/>
      <c r="CC71" s="447"/>
      <c r="CD71" s="407"/>
      <c r="CE71" s="407"/>
    </row>
    <row r="72" spans="2:95" s="402" customFormat="1" ht="41.25" hidden="1" customHeight="1" thickBot="1" x14ac:dyDescent="0.25">
      <c r="B72" s="621"/>
      <c r="C72" s="494"/>
      <c r="D72" s="792"/>
      <c r="E72" s="738" t="s">
        <v>37</v>
      </c>
      <c r="F72" s="865">
        <v>1</v>
      </c>
      <c r="G72" s="866"/>
      <c r="H72" s="881">
        <v>0</v>
      </c>
      <c r="I72" s="882"/>
      <c r="J72" s="867" t="e">
        <f>+#REF!</f>
        <v>#REF!</v>
      </c>
      <c r="K72" s="868"/>
      <c r="L72" s="845" t="e">
        <f ca="1">DATE(YEAR(L64),MONTH(L64)+(J72-J64),DAY(L64))</f>
        <v>#REF!</v>
      </c>
      <c r="M72" s="846"/>
      <c r="N72" s="835">
        <f>H72*F72</f>
        <v>0</v>
      </c>
      <c r="O72" s="836"/>
      <c r="P72" s="837"/>
      <c r="Q72" s="826" t="e">
        <f>IF(F72&lt;&gt;0,IF(H72&gt;'Simulador CEF'!#REF!,CONCATENATE("valor excedente, máximo de R$ ",'Simulador CEF'!#REF!," 
por parcela."),IF(F72&gt;#REF!, CONCATENATE("Parcele no máximo em ",#REF!," vezes"),"OK")),"Informar Entrada")</f>
        <v>#REF!</v>
      </c>
      <c r="R72" s="827"/>
      <c r="S72" s="827"/>
      <c r="T72" s="623"/>
      <c r="U72" s="494"/>
      <c r="V72" s="621"/>
      <c r="Y72" s="487" t="e">
        <f ca="1">IF('Proposta 1 Via'!P43&gt;0,'Proposta 1 Via'!P43,0)</f>
        <v>#REF!</v>
      </c>
      <c r="AA72" s="402" t="s">
        <v>232</v>
      </c>
      <c r="AB72" s="488">
        <f>+N72/M8</f>
        <v>0</v>
      </c>
      <c r="AC72" s="489"/>
      <c r="AE72" s="1023" t="e">
        <f ca="1">'Proposta 1 Via'!M43</f>
        <v>#REF!</v>
      </c>
      <c r="AF72" s="1024"/>
      <c r="AG72" s="1025"/>
      <c r="BU72" s="490"/>
      <c r="BV72" s="490"/>
      <c r="CB72" s="491"/>
      <c r="CC72" s="492"/>
      <c r="CD72" s="493"/>
      <c r="CE72" s="493"/>
      <c r="CN72" s="495"/>
      <c r="CQ72" s="763"/>
    </row>
    <row r="73" spans="2:95" ht="15" hidden="1" customHeight="1" thickBot="1" x14ac:dyDescent="0.25">
      <c r="B73" s="621"/>
      <c r="C73" s="494"/>
      <c r="D73" s="792"/>
      <c r="E73" s="738"/>
      <c r="F73" s="669"/>
      <c r="G73" s="669"/>
      <c r="H73" s="669"/>
      <c r="I73" s="702"/>
      <c r="J73" s="700"/>
      <c r="K73" s="700"/>
      <c r="L73" s="699"/>
      <c r="M73" s="548"/>
      <c r="N73" s="705"/>
      <c r="O73" s="705"/>
      <c r="P73" s="548"/>
      <c r="Q73" s="431"/>
      <c r="R73" s="480"/>
      <c r="S73" s="473"/>
      <c r="T73" s="622"/>
      <c r="U73" s="431"/>
      <c r="V73" s="621"/>
      <c r="Y73" s="481"/>
      <c r="AA73" s="399" t="s">
        <v>231</v>
      </c>
      <c r="AE73" s="468"/>
      <c r="AF73" s="462"/>
      <c r="AG73" s="464"/>
      <c r="BU73" s="405"/>
      <c r="BV73" s="405"/>
      <c r="CB73" s="434"/>
      <c r="CC73" s="447"/>
      <c r="CD73" s="407"/>
      <c r="CE73" s="407"/>
    </row>
    <row r="74" spans="2:95" ht="51.75" customHeight="1" thickBot="1" x14ac:dyDescent="0.25">
      <c r="B74" s="621"/>
      <c r="C74" s="494"/>
      <c r="D74" s="792"/>
      <c r="E74" s="738" t="s">
        <v>37</v>
      </c>
      <c r="F74" s="769">
        <f>fluxos!C9</f>
        <v>26</v>
      </c>
      <c r="G74" s="769"/>
      <c r="H74" s="823">
        <v>950</v>
      </c>
      <c r="I74" s="823"/>
      <c r="J74" s="834">
        <v>4</v>
      </c>
      <c r="K74" s="834"/>
      <c r="L74" s="807">
        <f ca="1">DATE(YEAR(L70),MONTH(L70)+(J74-J70),1)</f>
        <v>43922</v>
      </c>
      <c r="M74" s="807"/>
      <c r="N74" s="798">
        <f>F74*H74</f>
        <v>24700</v>
      </c>
      <c r="O74" s="798"/>
      <c r="P74" s="798"/>
      <c r="Q74" s="817" t="str">
        <f ca="1">IF(J92&gt;39,"Verificar Qtd. de Parcelas - Última deve ser em Maio/22",IF(F74&lt;&gt;0,IF(H74&gt;I31,CONCATENATE("valor excedente, máximo de R$ ",I31," 
por parcela."),IF(F74&gt;I51,CONCATENATE("Parcele no máximo em ",I51," vezes"),"OK")),"Informar Entrada"))</f>
        <v>OK</v>
      </c>
      <c r="R74" s="817"/>
      <c r="S74" s="817"/>
      <c r="T74" s="622"/>
      <c r="U74" s="431"/>
      <c r="V74" s="621"/>
      <c r="Y74" s="478" t="e">
        <f ca="1">IF('Proposta 1 Via'!P44&gt;0,'Proposta 1 Via'!P44,0)</f>
        <v>#REF!</v>
      </c>
      <c r="AE74" s="934" t="e">
        <f ca="1">'Proposta 1 Via'!M44</f>
        <v>#REF!</v>
      </c>
      <c r="AF74" s="935"/>
      <c r="AG74" s="936"/>
      <c r="AP74" s="726">
        <v>44317</v>
      </c>
      <c r="BU74" s="405">
        <v>25</v>
      </c>
      <c r="BV74" s="405"/>
      <c r="CB74" s="434"/>
      <c r="CC74" s="447"/>
      <c r="CD74" s="407"/>
      <c r="CE74" s="407"/>
      <c r="CO74" s="496" t="s">
        <v>105</v>
      </c>
      <c r="CP74" s="496" t="s">
        <v>106</v>
      </c>
    </row>
    <row r="75" spans="2:95" s="420" customFormat="1" ht="51.75" customHeight="1" x14ac:dyDescent="0.2">
      <c r="B75" s="657"/>
      <c r="C75" s="678"/>
      <c r="D75" s="792"/>
      <c r="E75" s="707"/>
      <c r="F75" s="708"/>
      <c r="G75" s="709"/>
      <c r="H75" s="798">
        <f>N75/F74</f>
        <v>1050</v>
      </c>
      <c r="I75" s="798"/>
      <c r="J75" s="709"/>
      <c r="K75" s="709"/>
      <c r="L75" s="803"/>
      <c r="M75" s="803"/>
      <c r="N75" s="798">
        <f>M28+N74</f>
        <v>27300</v>
      </c>
      <c r="O75" s="798"/>
      <c r="P75" s="798"/>
      <c r="Q75" s="497"/>
      <c r="R75" s="497"/>
      <c r="S75" s="497"/>
      <c r="T75" s="624"/>
      <c r="U75" s="428"/>
      <c r="V75" s="657"/>
      <c r="Y75" s="498"/>
      <c r="AE75" s="499"/>
      <c r="AF75" s="455"/>
      <c r="AG75" s="500"/>
      <c r="AP75" s="725">
        <v>43952</v>
      </c>
      <c r="BU75" s="423"/>
      <c r="BV75" s="423"/>
      <c r="CB75" s="501"/>
      <c r="CC75" s="502"/>
      <c r="CD75" s="424"/>
      <c r="CE75" s="424"/>
      <c r="CN75" s="429"/>
      <c r="CO75" s="503"/>
      <c r="CP75" s="503"/>
      <c r="CQ75" s="763"/>
    </row>
    <row r="76" spans="2:95" s="402" customFormat="1" ht="15" customHeight="1" thickBot="1" x14ac:dyDescent="0.25">
      <c r="B76" s="621"/>
      <c r="C76" s="494"/>
      <c r="D76" s="792"/>
      <c r="E76" s="738"/>
      <c r="F76" s="710"/>
      <c r="G76" s="710"/>
      <c r="H76" s="710"/>
      <c r="I76" s="711"/>
      <c r="J76" s="700"/>
      <c r="K76" s="700"/>
      <c r="L76" s="699"/>
      <c r="M76" s="548"/>
      <c r="N76" s="705"/>
      <c r="O76" s="705"/>
      <c r="P76" s="548"/>
      <c r="Q76" s="679"/>
      <c r="R76" s="506"/>
      <c r="S76" s="507"/>
      <c r="T76" s="623"/>
      <c r="U76" s="494"/>
      <c r="V76" s="621"/>
      <c r="Y76" s="508"/>
      <c r="AA76" s="402" t="s">
        <v>231</v>
      </c>
      <c r="AE76" s="509"/>
      <c r="AF76" s="505"/>
      <c r="AG76" s="510"/>
      <c r="BU76" s="490"/>
      <c r="BV76" s="490"/>
      <c r="CB76" s="491"/>
      <c r="CC76" s="492"/>
      <c r="CD76" s="493"/>
      <c r="CE76" s="493"/>
      <c r="CN76" s="495"/>
      <c r="CQ76" s="763"/>
    </row>
    <row r="77" spans="2:95" ht="33.75" customHeight="1" thickBot="1" x14ac:dyDescent="0.25">
      <c r="B77" s="621"/>
      <c r="C77" s="494"/>
      <c r="D77" s="792"/>
      <c r="E77" s="738" t="s">
        <v>27</v>
      </c>
      <c r="F77" s="769">
        <v>2</v>
      </c>
      <c r="G77" s="769"/>
      <c r="H77" s="823">
        <v>0</v>
      </c>
      <c r="I77" s="823"/>
      <c r="J77" s="834">
        <f ca="1">(YEAR(L77)-YEAR(L62))*12+MONTH(L77)-MONTH(L62)</f>
        <v>6</v>
      </c>
      <c r="K77" s="834"/>
      <c r="L77" s="833">
        <v>43983</v>
      </c>
      <c r="M77" s="833"/>
      <c r="N77" s="798">
        <f>H77*F77</f>
        <v>0</v>
      </c>
      <c r="O77" s="798"/>
      <c r="P77" s="798"/>
      <c r="Q77" s="824"/>
      <c r="R77" s="825"/>
      <c r="S77" s="825"/>
      <c r="T77" s="626"/>
      <c r="U77" s="431"/>
      <c r="V77" s="621"/>
      <c r="Y77" s="478" t="e">
        <f ca="1">IF('Proposta 1 Via'!P46&gt;0,'Proposta 1 Via'!P46,0)</f>
        <v>#REF!</v>
      </c>
      <c r="AE77" s="934" t="e">
        <f>'Proposta 1 Via'!M46</f>
        <v>#REF!</v>
      </c>
      <c r="AF77" s="935"/>
      <c r="AG77" s="936"/>
      <c r="BU77" s="405">
        <v>25</v>
      </c>
      <c r="BV77" s="405"/>
      <c r="CB77" s="434"/>
      <c r="CC77" s="447"/>
      <c r="CD77" s="407"/>
      <c r="CE77" s="407"/>
      <c r="CN77" s="483"/>
      <c r="CO77" s="399" t="s">
        <v>105</v>
      </c>
      <c r="CP77" s="399" t="s">
        <v>106</v>
      </c>
      <c r="CQ77" s="766"/>
    </row>
    <row r="78" spans="2:95" s="402" customFormat="1" ht="15" customHeight="1" x14ac:dyDescent="0.2">
      <c r="B78" s="621"/>
      <c r="C78" s="494"/>
      <c r="D78" s="792"/>
      <c r="E78" s="602"/>
      <c r="F78" s="504"/>
      <c r="G78" s="504"/>
      <c r="H78" s="504"/>
      <c r="I78" s="505"/>
      <c r="J78" s="589"/>
      <c r="K78" s="589"/>
      <c r="L78" s="590"/>
      <c r="M78" s="546"/>
      <c r="N78" s="732"/>
      <c r="O78" s="732"/>
      <c r="P78" s="546"/>
      <c r="Q78" s="628"/>
      <c r="R78" s="629"/>
      <c r="S78" s="627"/>
      <c r="T78" s="623"/>
      <c r="U78" s="494"/>
      <c r="V78" s="621"/>
      <c r="Y78" s="508"/>
      <c r="AA78" s="402" t="s">
        <v>231</v>
      </c>
      <c r="AE78" s="509"/>
      <c r="AF78" s="505"/>
      <c r="AG78" s="510"/>
      <c r="BU78" s="490"/>
      <c r="BV78" s="490"/>
      <c r="CB78" s="491"/>
      <c r="CC78" s="492"/>
      <c r="CD78" s="493"/>
      <c r="CE78" s="493"/>
      <c r="CN78" s="495"/>
      <c r="CQ78" s="763"/>
    </row>
    <row r="79" spans="2:95" s="402" customFormat="1" ht="33.75" hidden="1" customHeight="1" thickBot="1" x14ac:dyDescent="0.25">
      <c r="B79" s="621"/>
      <c r="C79" s="494"/>
      <c r="D79" s="792"/>
      <c r="E79" s="602"/>
      <c r="F79" s="849">
        <v>0</v>
      </c>
      <c r="G79" s="850"/>
      <c r="H79" s="869"/>
      <c r="I79" s="870"/>
      <c r="J79" s="855"/>
      <c r="K79" s="856"/>
      <c r="L79" s="838">
        <f ca="1">DATE(YEAR(L77),MONTH(L77)+(J79-J77),DAY(L77))</f>
        <v>43800</v>
      </c>
      <c r="M79" s="838"/>
      <c r="N79" s="785">
        <f>H79*F79</f>
        <v>0</v>
      </c>
      <c r="O79" s="785"/>
      <c r="P79" s="785"/>
      <c r="Q79" s="826" t="e">
        <f ca="1">IF(L79&gt;#REF!,"Semestral Fora do Prazo",IF(F79&lt;&gt;0,IF(H79&gt;'Simulador CEF'!E19,CONCATENATE("valor excedente, máximo de R$ ",'Simulador CEF'!E19," 
por parcela."),IF(F79&gt;I54,CONCATENATE("Parcele no máximo em ",I54," vezes"),"OK")),"Informar Entrada"))</f>
        <v>#REF!</v>
      </c>
      <c r="R79" s="827"/>
      <c r="S79" s="827"/>
      <c r="T79" s="623"/>
      <c r="U79" s="494"/>
      <c r="V79" s="621"/>
      <c r="Y79" s="487" t="e">
        <f ca="1">IF('Proposta 1 Via'!P47&gt;0,'Proposta 1 Via'!P47,0)</f>
        <v>#REF!</v>
      </c>
      <c r="AE79" s="1023" t="e">
        <f>'Proposta 1 Via'!M48</f>
        <v>#REF!</v>
      </c>
      <c r="AF79" s="1024"/>
      <c r="AG79" s="1025"/>
      <c r="BU79" s="490">
        <v>25</v>
      </c>
      <c r="BV79" s="490"/>
      <c r="CB79" s="491"/>
      <c r="CC79" s="492"/>
      <c r="CD79" s="493"/>
      <c r="CE79" s="493"/>
      <c r="CN79" s="495"/>
      <c r="CO79" s="402" t="s">
        <v>105</v>
      </c>
      <c r="CP79" s="402" t="s">
        <v>106</v>
      </c>
      <c r="CQ79" s="763"/>
    </row>
    <row r="80" spans="2:95" ht="21" hidden="1" customHeight="1" thickBot="1" x14ac:dyDescent="0.25">
      <c r="B80" s="621"/>
      <c r="C80" s="494"/>
      <c r="D80" s="792"/>
      <c r="E80" s="602"/>
      <c r="F80" s="511"/>
      <c r="G80" s="511"/>
      <c r="H80" s="511"/>
      <c r="I80" s="512"/>
      <c r="J80" s="589"/>
      <c r="K80" s="589"/>
      <c r="L80" s="590"/>
      <c r="M80" s="546"/>
      <c r="N80" s="732"/>
      <c r="O80" s="732"/>
      <c r="P80" s="546"/>
      <c r="Q80" s="431"/>
      <c r="R80" s="480"/>
      <c r="S80" s="473"/>
      <c r="T80" s="622"/>
      <c r="U80" s="431"/>
      <c r="V80" s="621"/>
      <c r="Y80" s="481"/>
      <c r="AE80" s="468"/>
      <c r="AF80" s="462"/>
      <c r="AG80" s="464"/>
      <c r="BU80" s="405">
        <v>26</v>
      </c>
      <c r="BV80" s="405"/>
      <c r="CB80" s="434"/>
      <c r="CC80" s="447"/>
      <c r="CD80" s="407"/>
      <c r="CE80" s="407"/>
      <c r="CO80" s="401">
        <v>2790</v>
      </c>
      <c r="CP80" s="401">
        <v>300</v>
      </c>
    </row>
    <row r="81" spans="2:99" ht="33.75" hidden="1" customHeight="1" thickBot="1" x14ac:dyDescent="0.25">
      <c r="B81" s="621"/>
      <c r="C81" s="494"/>
      <c r="D81" s="792"/>
      <c r="E81" s="602" t="s">
        <v>229</v>
      </c>
      <c r="F81" s="801">
        <v>1</v>
      </c>
      <c r="G81" s="802"/>
      <c r="H81" s="883">
        <v>0</v>
      </c>
      <c r="I81" s="883"/>
      <c r="J81" s="857" t="e">
        <f>fluxos!#REF!</f>
        <v>#REF!</v>
      </c>
      <c r="K81" s="858"/>
      <c r="L81" s="831" t="e">
        <f ca="1">DATE(YEAR(L74),MONTH(L74)+(J81-J74),DAY(L74))</f>
        <v>#REF!</v>
      </c>
      <c r="M81" s="832"/>
      <c r="N81" s="884">
        <f>H81*F81</f>
        <v>0</v>
      </c>
      <c r="O81" s="885"/>
      <c r="P81" s="886"/>
      <c r="Q81" s="821" t="e">
        <f>IF(F81&lt;&gt;0,IF(H81&gt;'Simulador CEF'!E19,CONCATENATE("valor excedente, máximo de R$ ",'Simulador CEF'!E19," 
por parcela."),IF(F81&gt;#REF!, CONCATENATE("Parcele no máximo em ",#REF!," vezes"),"OK")),"Informar Entrada")</f>
        <v>#REF!</v>
      </c>
      <c r="R81" s="822"/>
      <c r="S81" s="822"/>
      <c r="T81" s="622"/>
      <c r="U81" s="431"/>
      <c r="V81" s="621"/>
      <c r="Y81" s="482" t="e">
        <f ca="1">IF('Proposta 1 Via'!P45&gt;0,'Proposta 1 Via'!P45,0)</f>
        <v>#REF!</v>
      </c>
      <c r="AE81" s="934" t="e">
        <f ca="1">'Proposta 1 Via'!M45</f>
        <v>#REF!</v>
      </c>
      <c r="AF81" s="935"/>
      <c r="AG81" s="936"/>
      <c r="BU81" s="405">
        <v>27</v>
      </c>
      <c r="BV81" s="405"/>
      <c r="CB81" s="434"/>
      <c r="CC81" s="447"/>
      <c r="CD81" s="407"/>
      <c r="CE81" s="407"/>
      <c r="CO81" s="401">
        <v>4900</v>
      </c>
      <c r="CP81" s="401">
        <v>360</v>
      </c>
    </row>
    <row r="82" spans="2:99" ht="15" hidden="1" customHeight="1" thickBot="1" x14ac:dyDescent="0.25">
      <c r="B82" s="621"/>
      <c r="C82" s="494"/>
      <c r="D82" s="792"/>
      <c r="E82" s="602"/>
      <c r="F82" s="511"/>
      <c r="G82" s="511"/>
      <c r="H82" s="511"/>
      <c r="I82" s="512"/>
      <c r="J82" s="589"/>
      <c r="K82" s="589"/>
      <c r="L82" s="590"/>
      <c r="M82" s="546"/>
      <c r="N82" s="732"/>
      <c r="O82" s="732"/>
      <c r="P82" s="546"/>
      <c r="Q82" s="431"/>
      <c r="R82" s="480"/>
      <c r="S82" s="473"/>
      <c r="T82" s="622"/>
      <c r="U82" s="431"/>
      <c r="V82" s="621"/>
      <c r="Y82" s="481"/>
      <c r="AE82" s="468"/>
      <c r="AF82" s="462"/>
      <c r="AG82" s="464"/>
      <c r="BU82" s="405">
        <v>28</v>
      </c>
      <c r="BV82" s="405"/>
      <c r="CB82" s="434"/>
      <c r="CC82" s="447"/>
      <c r="CD82" s="407"/>
      <c r="CE82" s="407"/>
      <c r="CO82" s="433"/>
    </row>
    <row r="83" spans="2:99" ht="33.75" hidden="1" customHeight="1" thickBot="1" x14ac:dyDescent="0.25">
      <c r="B83" s="621"/>
      <c r="C83" s="494"/>
      <c r="D83" s="792"/>
      <c r="E83" s="602" t="s">
        <v>27</v>
      </c>
      <c r="F83" s="849">
        <v>0</v>
      </c>
      <c r="G83" s="850"/>
      <c r="H83" s="869"/>
      <c r="I83" s="870"/>
      <c r="J83" s="847">
        <v>9</v>
      </c>
      <c r="K83" s="848"/>
      <c r="L83" s="838" t="e">
        <f ca="1">DATE(YEAR(L81),MONTH(L81)+(J83-J81),DAY(L81))</f>
        <v>#REF!</v>
      </c>
      <c r="M83" s="838"/>
      <c r="N83" s="785">
        <f>H83*F83</f>
        <v>0</v>
      </c>
      <c r="O83" s="785"/>
      <c r="P83" s="785"/>
      <c r="Q83" s="1017" t="str">
        <f>IF(H83&gt;0,IF($AM$114&gt;J83,IF(J83+(F83-1)*C83&lt;=$AM$114,"Ok",CONCATENATE("Prazo excedido, parcela máxima: ",(ROUNDDOWN(($AM$114-J83)/C83,0))+1)),"Mês de início inválido."),"")</f>
        <v/>
      </c>
      <c r="R83" s="1018"/>
      <c r="S83" s="743"/>
      <c r="T83" s="622"/>
      <c r="U83" s="431"/>
      <c r="V83" s="621"/>
      <c r="Y83" s="513" t="e">
        <f ca="1">IF('Proposta 1 Via'!P46&gt;0,'Proposta 1 Via'!P46,0)</f>
        <v>#REF!</v>
      </c>
      <c r="AE83" s="934" t="e">
        <f>'Proposta 1 Via'!M46</f>
        <v>#REF!</v>
      </c>
      <c r="AF83" s="935"/>
      <c r="AG83" s="936"/>
      <c r="BU83" s="405">
        <v>29</v>
      </c>
      <c r="BV83" s="405"/>
      <c r="CB83" s="434"/>
      <c r="CC83" s="447"/>
      <c r="CD83" s="407"/>
      <c r="CE83" s="407"/>
      <c r="CO83" s="433"/>
    </row>
    <row r="84" spans="2:99" ht="15" hidden="1" customHeight="1" thickBot="1" x14ac:dyDescent="0.25">
      <c r="B84" s="621"/>
      <c r="C84" s="494"/>
      <c r="D84" s="792"/>
      <c r="E84" s="602"/>
      <c r="F84" s="504"/>
      <c r="G84" s="504"/>
      <c r="H84" s="504"/>
      <c r="I84" s="505"/>
      <c r="J84" s="589"/>
      <c r="K84" s="589"/>
      <c r="L84" s="590"/>
      <c r="M84" s="546"/>
      <c r="N84" s="732"/>
      <c r="O84" s="732"/>
      <c r="P84" s="546"/>
      <c r="Q84" s="431"/>
      <c r="R84" s="480"/>
      <c r="S84" s="473"/>
      <c r="T84" s="622"/>
      <c r="U84" s="431"/>
      <c r="V84" s="621"/>
      <c r="Y84" s="481"/>
      <c r="AE84" s="468"/>
      <c r="AF84" s="462"/>
      <c r="AG84" s="464"/>
      <c r="BU84" s="405">
        <v>30</v>
      </c>
      <c r="BV84" s="405"/>
      <c r="CB84" s="434"/>
      <c r="CC84" s="447"/>
      <c r="CD84" s="407"/>
      <c r="CE84" s="407"/>
      <c r="CO84" s="433"/>
    </row>
    <row r="85" spans="2:99" ht="19.5" hidden="1" customHeight="1" thickBot="1" x14ac:dyDescent="0.25">
      <c r="B85" s="621"/>
      <c r="C85" s="494"/>
      <c r="D85" s="792"/>
      <c r="E85" s="602" t="s">
        <v>236</v>
      </c>
      <c r="F85" s="849">
        <v>1</v>
      </c>
      <c r="G85" s="850"/>
      <c r="H85" s="869">
        <v>0</v>
      </c>
      <c r="I85" s="870"/>
      <c r="J85" s="848">
        <v>5</v>
      </c>
      <c r="K85" s="848"/>
      <c r="L85" s="838" t="e">
        <f ca="1">DATE(YEAR(L83),MONTH(L83)+(J85-J83),DAY(L83))</f>
        <v>#REF!</v>
      </c>
      <c r="M85" s="838"/>
      <c r="N85" s="784">
        <f>H85*F85</f>
        <v>0</v>
      </c>
      <c r="O85" s="785"/>
      <c r="P85" s="785"/>
      <c r="Q85" s="1016" t="s">
        <v>238</v>
      </c>
      <c r="R85" s="822"/>
      <c r="S85" s="822"/>
      <c r="T85" s="622"/>
      <c r="U85" s="431"/>
      <c r="V85" s="621"/>
      <c r="Y85" s="513" t="e">
        <f ca="1">IF('Proposta 1 Via'!P47&gt;0,'Proposta 1 Via'!P47,0)</f>
        <v>#REF!</v>
      </c>
      <c r="AE85" s="934" t="e">
        <f ca="1">'Proposta 1 Via'!M47</f>
        <v>#REF!</v>
      </c>
      <c r="AF85" s="935"/>
      <c r="AG85" s="936"/>
      <c r="AJ85" s="406" t="s">
        <v>200</v>
      </c>
      <c r="CB85" s="434"/>
      <c r="CC85" s="447"/>
      <c r="CD85" s="407"/>
      <c r="CE85" s="407"/>
      <c r="CO85" s="433"/>
    </row>
    <row r="86" spans="2:99" ht="43.5" customHeight="1" x14ac:dyDescent="0.2">
      <c r="B86" s="621"/>
      <c r="C86" s="494"/>
      <c r="D86" s="792"/>
      <c r="E86" s="602"/>
      <c r="F86" s="465"/>
      <c r="G86" s="465"/>
      <c r="H86" s="465"/>
      <c r="I86" s="462"/>
      <c r="J86" s="589"/>
      <c r="K86" s="589"/>
      <c r="L86" s="590"/>
      <c r="M86" s="546"/>
      <c r="N86" s="732"/>
      <c r="O86" s="732"/>
      <c r="P86" s="546"/>
      <c r="Q86" s="431"/>
      <c r="R86" s="431"/>
      <c r="S86" s="472"/>
      <c r="T86" s="622"/>
      <c r="U86" s="431"/>
      <c r="V86" s="621"/>
      <c r="Y86" s="481"/>
      <c r="AE86" s="468"/>
      <c r="AF86" s="462"/>
      <c r="AG86" s="464"/>
      <c r="AJ86" s="406"/>
      <c r="CB86" s="434"/>
      <c r="CC86" s="447"/>
      <c r="CD86" s="407"/>
      <c r="CE86" s="407"/>
      <c r="CN86" s="618" t="s">
        <v>102</v>
      </c>
      <c r="CO86" s="406" t="s">
        <v>109</v>
      </c>
      <c r="CP86" s="406" t="s">
        <v>110</v>
      </c>
      <c r="CQ86" s="767" t="s">
        <v>111</v>
      </c>
      <c r="CR86" s="402"/>
      <c r="CS86" s="926" t="s">
        <v>112</v>
      </c>
      <c r="CT86" s="926"/>
      <c r="CU86" s="926"/>
    </row>
    <row r="87" spans="2:99" ht="66" customHeight="1" x14ac:dyDescent="0.2">
      <c r="B87" s="621"/>
      <c r="C87" s="494"/>
      <c r="D87" s="792"/>
      <c r="E87" s="602"/>
      <c r="F87" s="465"/>
      <c r="G87" s="465"/>
      <c r="H87" s="462"/>
      <c r="I87" s="431"/>
      <c r="J87" s="479"/>
      <c r="K87" s="479"/>
      <c r="L87" s="461"/>
      <c r="M87" s="465"/>
      <c r="N87" s="462"/>
      <c r="O87" s="462"/>
      <c r="P87" s="431"/>
      <c r="Q87" s="431"/>
      <c r="R87" s="431"/>
      <c r="S87" s="472"/>
      <c r="T87" s="622"/>
      <c r="U87" s="431"/>
      <c r="V87" s="621"/>
      <c r="Y87" s="514"/>
      <c r="AA87" s="406"/>
      <c r="AE87" s="468"/>
      <c r="AF87" s="462"/>
      <c r="AG87" s="464"/>
      <c r="AN87" s="515">
        <f>F77</f>
        <v>2</v>
      </c>
      <c r="AP87" s="516" t="str">
        <f>IF(AN87=0,"ok",IF(AND(AN87=1,L77&lt;='Simulador CEF'!M14),"ok",IF(AND(AN87=2,L77&lt;=(44317)),"ok",IF(AND('Simulador CEF'!AN87=3,L77&lt;=(43952)),"ok","falha"))))</f>
        <v>ok</v>
      </c>
      <c r="CB87" s="927">
        <f>Apoio!B349</f>
        <v>0</v>
      </c>
      <c r="CC87" s="928"/>
      <c r="CD87" s="928"/>
      <c r="CE87" s="929"/>
      <c r="CN87" s="618">
        <v>120</v>
      </c>
      <c r="CO87" s="406">
        <v>1</v>
      </c>
      <c r="CP87" s="406">
        <v>1</v>
      </c>
      <c r="CQ87" s="767">
        <v>1928</v>
      </c>
      <c r="CR87" s="402"/>
      <c r="CS87" s="619" t="str">
        <f>CONCATENATE(E20,"/",F20,"/",G20)</f>
        <v>4/3/1997</v>
      </c>
      <c r="CT87" s="612">
        <f ca="1">TODAY()+120</f>
        <v>43922</v>
      </c>
      <c r="CU87" s="613">
        <f ca="1">ROUND((CT87-CS87)/30,0)</f>
        <v>281</v>
      </c>
    </row>
    <row r="88" spans="2:99" ht="48.75" customHeight="1" thickBot="1" x14ac:dyDescent="0.25">
      <c r="B88" s="621"/>
      <c r="C88" s="494"/>
      <c r="D88" s="792"/>
      <c r="E88" s="808" t="s">
        <v>13</v>
      </c>
      <c r="F88" s="799" t="s">
        <v>244</v>
      </c>
      <c r="G88" s="799"/>
      <c r="H88" s="799"/>
      <c r="I88" s="800"/>
      <c r="J88" s="1015">
        <v>4</v>
      </c>
      <c r="K88" s="1015"/>
      <c r="L88" s="1019">
        <f ca="1">H54</f>
        <v>43924</v>
      </c>
      <c r="M88" s="1020"/>
      <c r="N88" s="798">
        <f>M20+M18+Q33</f>
        <v>31292.5</v>
      </c>
      <c r="O88" s="798"/>
      <c r="P88" s="798"/>
      <c r="Q88" s="548"/>
      <c r="R88" s="937" t="s">
        <v>230</v>
      </c>
      <c r="S88" s="938"/>
      <c r="T88" s="622"/>
      <c r="U88" s="431"/>
      <c r="V88" s="621"/>
      <c r="Y88" s="514"/>
      <c r="AA88" s="517">
        <f>AA91</f>
        <v>158737.5</v>
      </c>
      <c r="AE88" s="934" t="e">
        <f ca="1">'Proposta 1 Via'!M49</f>
        <v>#REF!</v>
      </c>
      <c r="AF88" s="935"/>
      <c r="AG88" s="936"/>
      <c r="AN88" s="518">
        <f ca="1">J77</f>
        <v>6</v>
      </c>
      <c r="CB88" s="740"/>
      <c r="CC88" s="741"/>
      <c r="CD88" s="741"/>
      <c r="CE88" s="519"/>
      <c r="CN88" s="618">
        <f>CN87+60</f>
        <v>180</v>
      </c>
      <c r="CO88" s="406">
        <v>2</v>
      </c>
      <c r="CP88" s="406">
        <v>2</v>
      </c>
      <c r="CQ88" s="767">
        <v>1929</v>
      </c>
      <c r="CR88" s="402"/>
    </row>
    <row r="89" spans="2:99" ht="33.75" customHeight="1" thickBot="1" x14ac:dyDescent="0.25">
      <c r="B89" s="621"/>
      <c r="C89" s="494"/>
      <c r="D89" s="792"/>
      <c r="E89" s="808"/>
      <c r="F89" s="874" t="s">
        <v>164</v>
      </c>
      <c r="G89" s="874"/>
      <c r="H89" s="874"/>
      <c r="I89" s="875"/>
      <c r="J89" s="1015"/>
      <c r="K89" s="1015"/>
      <c r="L89" s="1021"/>
      <c r="M89" s="1022"/>
      <c r="N89" s="798">
        <f ca="1">IF(M22&lt;AA91,M22,IF(R89="sim",AA91,M22))</f>
        <v>139216</v>
      </c>
      <c r="O89" s="798"/>
      <c r="P89" s="798"/>
      <c r="Q89" s="548"/>
      <c r="R89" s="757" t="s">
        <v>232</v>
      </c>
      <c r="S89" s="712" t="str">
        <f ca="1">IF(M31&gt;AA88,"Limite Atingido", "Possível")</f>
        <v>Limite Atingido</v>
      </c>
      <c r="T89" s="622"/>
      <c r="U89" s="431"/>
      <c r="V89" s="621"/>
      <c r="Y89" s="478" t="e">
        <f ca="1">'Proposta 1 Via'!P50</f>
        <v>#REF!</v>
      </c>
      <c r="AA89" s="406" t="s">
        <v>219</v>
      </c>
      <c r="AE89" s="930" t="e">
        <f ca="1">'Proposta 1 Via'!M50</f>
        <v>#REF!</v>
      </c>
      <c r="AF89" s="931"/>
      <c r="AG89" s="932"/>
      <c r="CB89" s="406">
        <f>Apoio!B350</f>
        <v>0</v>
      </c>
      <c r="CC89" s="447">
        <f>Apoio!C477</f>
        <v>0</v>
      </c>
      <c r="CD89" s="520">
        <f>Apoio!D477</f>
        <v>7.0000000000000007E-2</v>
      </c>
      <c r="CE89" s="521" t="str">
        <f>Apoio!E477</f>
        <v>Código</v>
      </c>
      <c r="CN89" s="618">
        <f t="shared" ref="CN89:CN91" si="0">CN88+60</f>
        <v>240</v>
      </c>
      <c r="CO89" s="406">
        <v>3</v>
      </c>
      <c r="CP89" s="406">
        <v>3</v>
      </c>
      <c r="CQ89" s="767">
        <v>1930</v>
      </c>
      <c r="CR89" s="402"/>
    </row>
    <row r="90" spans="2:99" ht="20.25" customHeight="1" thickBot="1" x14ac:dyDescent="0.25">
      <c r="B90" s="621"/>
      <c r="C90" s="494"/>
      <c r="D90" s="792"/>
      <c r="E90" s="713"/>
      <c r="F90" s="713"/>
      <c r="G90" s="713"/>
      <c r="H90" s="713"/>
      <c r="I90" s="713"/>
      <c r="J90" s="713"/>
      <c r="K90" s="713"/>
      <c r="L90" s="604"/>
      <c r="M90" s="548"/>
      <c r="N90" s="714"/>
      <c r="O90" s="714"/>
      <c r="P90" s="548"/>
      <c r="Q90" s="713" t="s">
        <v>171</v>
      </c>
      <c r="R90" s="940"/>
      <c r="S90" s="941"/>
      <c r="T90" s="933"/>
      <c r="U90" s="431"/>
      <c r="V90" s="621"/>
      <c r="AA90" s="406" t="s">
        <v>175</v>
      </c>
      <c r="AE90" s="473"/>
      <c r="AF90" s="473"/>
      <c r="AG90" s="473"/>
      <c r="CB90" s="406">
        <f>Apoio!B351</f>
        <v>0</v>
      </c>
      <c r="CC90" s="447">
        <f>Apoio!C478</f>
        <v>0</v>
      </c>
      <c r="CD90" s="522">
        <f ca="1">Apoio!D478</f>
        <v>139216</v>
      </c>
      <c r="CE90" s="523">
        <f>Apoio!E478</f>
        <v>13</v>
      </c>
      <c r="CN90" s="618">
        <f t="shared" si="0"/>
        <v>300</v>
      </c>
      <c r="CO90" s="406">
        <v>4</v>
      </c>
      <c r="CP90" s="406">
        <v>4</v>
      </c>
      <c r="CQ90" s="767">
        <v>1931</v>
      </c>
      <c r="CR90" s="402"/>
    </row>
    <row r="91" spans="2:99" ht="56.25" customHeight="1" x14ac:dyDescent="0.2">
      <c r="B91" s="621"/>
      <c r="C91" s="494"/>
      <c r="D91" s="792"/>
      <c r="E91" s="438"/>
      <c r="F91" s="806" t="str">
        <f>IF(SUM(N72,N74,N81,N77)&gt;M8*15%,"Pró-Soluto acima do permitido","")</f>
        <v/>
      </c>
      <c r="G91" s="806"/>
      <c r="H91" s="806"/>
      <c r="I91" s="806"/>
      <c r="J91" s="804" t="s">
        <v>389</v>
      </c>
      <c r="K91" s="805"/>
      <c r="L91" s="879" t="s">
        <v>201</v>
      </c>
      <c r="M91" s="879"/>
      <c r="N91" s="880">
        <f ca="1">SUM(N62,N64,N68,N70,N74,N88,N77,N89)</f>
        <v>196008.5</v>
      </c>
      <c r="O91" s="880"/>
      <c r="P91" s="880"/>
      <c r="Q91" s="715">
        <f ca="1">(N56-N91)/N56</f>
        <v>9.0574397995638656E-2</v>
      </c>
      <c r="R91" s="939" t="str">
        <f ca="1">IF(Q91&lt;-0.00005%,"VALOR PROPOSTO EXCEDIDO",IF(Q91&gt;0.00005%,"AUMENTAR PROPOSTA","PRÉ-APROVADO"))</f>
        <v>AUMENTAR PROPOSTA</v>
      </c>
      <c r="S91" s="939"/>
      <c r="T91" s="933"/>
      <c r="U91" s="431"/>
      <c r="V91" s="621"/>
      <c r="AA91" s="517">
        <f>N56-(N74+N62+N64+N68+N70+N88+N77)</f>
        <v>158737.5</v>
      </c>
      <c r="AE91" s="1000" t="e">
        <f>SUM(AE89,#REF!,AE85,AE83,AE81,AE74,AE62,AE88,AE72,AE68,AE66,AE64)</f>
        <v>#REF!</v>
      </c>
      <c r="AF91" s="935"/>
      <c r="AG91" s="1001"/>
      <c r="CB91" s="524">
        <f>Apoio!B352</f>
        <v>0</v>
      </c>
      <c r="CC91" s="524" t="str">
        <f>Apoio!C479</f>
        <v>Obra</v>
      </c>
      <c r="CD91" s="524" t="str">
        <f>Apoio!D479</f>
        <v>Desembolso</v>
      </c>
      <c r="CE91" s="525" t="str">
        <f>Apoio!E479</f>
        <v>Juros Cliente</v>
      </c>
      <c r="CN91" s="618">
        <f t="shared" si="0"/>
        <v>360</v>
      </c>
      <c r="CO91" s="406">
        <v>5</v>
      </c>
      <c r="CP91" s="406">
        <v>5</v>
      </c>
      <c r="CQ91" s="767">
        <v>1932</v>
      </c>
      <c r="CR91" s="402"/>
    </row>
    <row r="92" spans="2:99" ht="30" customHeight="1" x14ac:dyDescent="0.2">
      <c r="B92" s="621"/>
      <c r="C92" s="494"/>
      <c r="D92" s="792"/>
      <c r="E92" s="472"/>
      <c r="F92" s="806"/>
      <c r="G92" s="806"/>
      <c r="H92" s="806"/>
      <c r="I92" s="806"/>
      <c r="J92" s="877">
        <f ca="1">(N74+N77)/N91</f>
        <v>0.1260149432295028</v>
      </c>
      <c r="K92" s="878"/>
      <c r="L92" s="747"/>
      <c r="M92" s="747"/>
      <c r="N92" s="716"/>
      <c r="O92" s="716"/>
      <c r="P92" s="716"/>
      <c r="Q92" s="717"/>
      <c r="R92" s="707"/>
      <c r="S92" s="707"/>
      <c r="T92" s="933"/>
      <c r="U92" s="431"/>
      <c r="V92" s="621"/>
      <c r="AA92" s="431"/>
      <c r="AE92" s="459"/>
      <c r="AF92" s="459"/>
      <c r="AG92" s="459"/>
      <c r="CB92" s="526"/>
      <c r="CC92" s="527"/>
      <c r="CD92" s="527"/>
      <c r="CE92" s="742"/>
      <c r="CN92" s="618">
        <v>420</v>
      </c>
      <c r="CO92" s="406">
        <v>6</v>
      </c>
      <c r="CP92" s="406">
        <v>6</v>
      </c>
      <c r="CQ92" s="767">
        <v>1933</v>
      </c>
      <c r="CR92" s="402"/>
    </row>
    <row r="93" spans="2:99" ht="60.75" customHeight="1" thickBot="1" x14ac:dyDescent="0.25">
      <c r="B93" s="621"/>
      <c r="C93" s="494"/>
      <c r="D93" s="793"/>
      <c r="E93" s="591"/>
      <c r="F93" s="591" t="str">
        <f ca="1">IF(N89&lt;30000,"Financiamento abaixo de 30.000","")</f>
        <v/>
      </c>
      <c r="G93" s="591"/>
      <c r="H93" s="591"/>
      <c r="I93" s="591"/>
      <c r="J93" s="591"/>
      <c r="K93" s="591"/>
      <c r="L93" s="591"/>
      <c r="M93" s="591"/>
      <c r="N93" s="591"/>
      <c r="O93" s="591"/>
      <c r="P93" s="591"/>
      <c r="Q93" s="591"/>
      <c r="R93" s="591"/>
      <c r="S93" s="591"/>
      <c r="T93" s="933"/>
      <c r="U93" s="431"/>
      <c r="V93" s="621"/>
      <c r="CB93" s="528">
        <f>Apoio!B353</f>
        <v>0</v>
      </c>
      <c r="CC93" s="529">
        <f>Apoio!C480</f>
        <v>0</v>
      </c>
      <c r="CD93" s="529">
        <f>Apoio!D480</f>
        <v>0</v>
      </c>
      <c r="CE93" s="530">
        <f>Apoio!E480</f>
        <v>0</v>
      </c>
      <c r="CN93" s="618"/>
      <c r="CO93" s="406">
        <v>7</v>
      </c>
      <c r="CP93" s="406">
        <v>7</v>
      </c>
      <c r="CQ93" s="767">
        <v>1934</v>
      </c>
      <c r="CR93" s="402"/>
    </row>
    <row r="94" spans="2:99" ht="11.25" customHeight="1" x14ac:dyDescent="0.2">
      <c r="B94" s="621"/>
      <c r="C94" s="431"/>
      <c r="D94" s="431"/>
      <c r="E94" s="431"/>
      <c r="F94" s="606"/>
      <c r="G94" s="606"/>
      <c r="H94" s="606"/>
      <c r="I94" s="606"/>
      <c r="J94" s="431"/>
      <c r="K94" s="431"/>
      <c r="L94" s="431"/>
      <c r="M94" s="431"/>
      <c r="N94" s="431"/>
      <c r="O94" s="431"/>
      <c r="P94" s="431"/>
      <c r="Q94" s="431"/>
      <c r="R94" s="431"/>
      <c r="S94" s="431"/>
      <c r="T94" s="625"/>
      <c r="U94" s="431"/>
      <c r="V94" s="621"/>
      <c r="Z94" s="514"/>
      <c r="AA94" s="514"/>
      <c r="CB94" s="447">
        <f>Apoio!B354</f>
        <v>0</v>
      </c>
      <c r="CC94" s="531" t="e">
        <f>Apoio!C481</f>
        <v>#N/A</v>
      </c>
      <c r="CD94" s="532" t="e">
        <f>Apoio!D481</f>
        <v>#N/A</v>
      </c>
      <c r="CE94" s="533">
        <f>Apoio!E481</f>
        <v>0</v>
      </c>
      <c r="CN94" s="618"/>
      <c r="CO94" s="406">
        <v>8</v>
      </c>
      <c r="CP94" s="406">
        <v>8</v>
      </c>
      <c r="CQ94" s="767">
        <v>1935</v>
      </c>
      <c r="CR94" s="402"/>
    </row>
    <row r="95" spans="2:99" ht="8.25" customHeight="1" x14ac:dyDescent="0.2">
      <c r="B95" s="621"/>
      <c r="C95" s="431"/>
      <c r="D95" s="431"/>
      <c r="E95" s="431"/>
      <c r="F95" s="431"/>
      <c r="G95" s="431"/>
      <c r="H95" s="431"/>
      <c r="I95" s="431"/>
      <c r="J95" s="431"/>
      <c r="K95" s="431"/>
      <c r="L95" s="431"/>
      <c r="M95" s="431"/>
      <c r="N95" s="431"/>
      <c r="O95" s="431"/>
      <c r="P95" s="431"/>
      <c r="Q95" s="431"/>
      <c r="R95" s="431"/>
      <c r="S95" s="431"/>
      <c r="T95" s="431"/>
      <c r="U95" s="431"/>
      <c r="V95" s="621"/>
      <c r="W95" s="431"/>
      <c r="X95" s="431"/>
      <c r="Y95" s="431"/>
      <c r="Z95" s="514"/>
      <c r="AA95" s="514"/>
      <c r="CB95" s="447"/>
      <c r="CC95" s="531"/>
      <c r="CD95" s="532"/>
      <c r="CE95" s="533"/>
      <c r="CN95" s="618"/>
      <c r="CO95" s="406">
        <v>9</v>
      </c>
      <c r="CP95" s="406">
        <v>9</v>
      </c>
      <c r="CQ95" s="767">
        <v>1936</v>
      </c>
      <c r="CR95" s="402"/>
    </row>
    <row r="96" spans="2:99" ht="12.75" customHeight="1" x14ac:dyDescent="0.2">
      <c r="B96" s="621"/>
      <c r="C96" s="431"/>
      <c r="D96" s="431"/>
      <c r="E96" s="431"/>
      <c r="F96" s="431"/>
      <c r="G96" s="431"/>
      <c r="H96" s="431"/>
      <c r="I96" s="431"/>
      <c r="J96" s="431"/>
      <c r="K96" s="431"/>
      <c r="L96" s="431"/>
      <c r="M96" s="431"/>
      <c r="N96" s="431"/>
      <c r="O96" s="431"/>
      <c r="P96" s="431"/>
      <c r="Q96" s="431"/>
      <c r="R96" s="431"/>
      <c r="S96" s="431"/>
      <c r="T96" s="431"/>
      <c r="U96" s="431"/>
      <c r="V96" s="621"/>
      <c r="Z96" s="514"/>
      <c r="AA96" s="514"/>
      <c r="AB96" s="514"/>
      <c r="AC96" s="514"/>
      <c r="CB96" s="447"/>
      <c r="CC96" s="531"/>
      <c r="CD96" s="532"/>
      <c r="CE96" s="533"/>
      <c r="CN96" s="618"/>
      <c r="CO96" s="406">
        <v>10</v>
      </c>
      <c r="CP96" s="406">
        <v>10</v>
      </c>
      <c r="CQ96" s="767">
        <v>1937</v>
      </c>
      <c r="CR96" s="402"/>
    </row>
    <row r="97" spans="2:96" ht="28.5" customHeight="1" x14ac:dyDescent="0.2">
      <c r="B97" s="621"/>
      <c r="C97" s="431"/>
      <c r="D97" s="431"/>
      <c r="E97" s="431"/>
      <c r="F97" s="534"/>
      <c r="G97" s="872" t="str">
        <f>IF(H66&lt;H72,"Inconsistência a Mensal 1 não pode ser MENOR que a Mensal 2","OK")</f>
        <v>OK</v>
      </c>
      <c r="H97" s="872"/>
      <c r="I97" s="873"/>
      <c r="J97" s="873"/>
      <c r="K97" s="873"/>
      <c r="L97" s="873"/>
      <c r="M97" s="873"/>
      <c r="N97" s="873"/>
      <c r="O97" s="431"/>
      <c r="P97" s="431"/>
      <c r="Q97" s="431"/>
      <c r="R97" s="431"/>
      <c r="S97" s="431"/>
      <c r="T97" s="431"/>
      <c r="U97" s="431"/>
      <c r="V97" s="621"/>
      <c r="Z97" s="514"/>
      <c r="AA97" s="514"/>
      <c r="AB97" s="514"/>
      <c r="AC97" s="514"/>
      <c r="CB97" s="447">
        <f>Apoio!B355</f>
        <v>0</v>
      </c>
      <c r="CC97" s="531" t="e">
        <f>Apoio!C482</f>
        <v>#N/A</v>
      </c>
      <c r="CD97" s="532" t="e">
        <f>Apoio!D482</f>
        <v>#N/A</v>
      </c>
      <c r="CE97" s="533" t="e">
        <f ca="1">Apoio!E482</f>
        <v>#N/A</v>
      </c>
      <c r="CN97" s="618"/>
      <c r="CO97" s="406">
        <v>11</v>
      </c>
      <c r="CP97" s="406">
        <v>11</v>
      </c>
      <c r="CQ97" s="767">
        <v>1938</v>
      </c>
      <c r="CR97" s="402"/>
    </row>
    <row r="98" spans="2:96" ht="23.25" customHeight="1" x14ac:dyDescent="0.2">
      <c r="B98" s="621"/>
      <c r="C98" s="431"/>
      <c r="D98" s="431"/>
      <c r="E98" s="605"/>
      <c r="F98" s="534"/>
      <c r="G98" s="873"/>
      <c r="H98" s="873"/>
      <c r="I98" s="873"/>
      <c r="J98" s="873"/>
      <c r="K98" s="873"/>
      <c r="L98" s="873"/>
      <c r="M98" s="873"/>
      <c r="N98" s="873"/>
      <c r="O98" s="431"/>
      <c r="P98" s="431"/>
      <c r="Q98" s="431"/>
      <c r="R98" s="431"/>
      <c r="S98" s="431"/>
      <c r="T98" s="431"/>
      <c r="U98" s="431"/>
      <c r="V98" s="621"/>
      <c r="Z98" s="514"/>
      <c r="AA98" s="514"/>
      <c r="AB98" s="514"/>
      <c r="AC98" s="514"/>
      <c r="CB98" s="447">
        <f>Apoio!B356</f>
        <v>0</v>
      </c>
      <c r="CC98" s="531" t="e">
        <f>Apoio!C483</f>
        <v>#N/A</v>
      </c>
      <c r="CD98" s="532" t="e">
        <f>Apoio!D483</f>
        <v>#N/A</v>
      </c>
      <c r="CE98" s="533" t="e">
        <f ca="1">Apoio!E483</f>
        <v>#N/A</v>
      </c>
      <c r="CN98" s="618"/>
      <c r="CO98" s="406">
        <v>12</v>
      </c>
      <c r="CP98" s="406">
        <v>12</v>
      </c>
      <c r="CQ98" s="767">
        <v>1939</v>
      </c>
    </row>
    <row r="99" spans="2:96" ht="3.75" customHeight="1" x14ac:dyDescent="0.2">
      <c r="B99" s="621"/>
      <c r="C99" s="494"/>
      <c r="D99" s="431"/>
      <c r="E99" s="605"/>
      <c r="F99" s="605"/>
      <c r="G99" s="605"/>
      <c r="H99" s="605"/>
      <c r="I99" s="605"/>
      <c r="J99" s="605"/>
      <c r="K99" s="605"/>
      <c r="L99" s="605"/>
      <c r="M99" s="605"/>
      <c r="N99" s="605"/>
      <c r="O99" s="605"/>
      <c r="P99" s="431"/>
      <c r="Q99" s="431"/>
      <c r="R99" s="431"/>
      <c r="S99" s="431"/>
      <c r="T99" s="431"/>
      <c r="U99" s="431"/>
      <c r="V99" s="621"/>
      <c r="CB99" s="447">
        <f>Apoio!B357</f>
        <v>0</v>
      </c>
      <c r="CC99" s="531" t="e">
        <f>Apoio!C484</f>
        <v>#N/A</v>
      </c>
      <c r="CD99" s="532" t="e">
        <f>Apoio!D484</f>
        <v>#N/A</v>
      </c>
      <c r="CE99" s="533" t="e">
        <f ca="1">Apoio!E484</f>
        <v>#N/A</v>
      </c>
      <c r="CN99" s="618"/>
      <c r="CO99" s="406">
        <v>13</v>
      </c>
      <c r="CP99" s="406"/>
      <c r="CQ99" s="767">
        <v>1940</v>
      </c>
    </row>
    <row r="100" spans="2:96" ht="9.75" customHeight="1" x14ac:dyDescent="0.2">
      <c r="B100" s="621"/>
      <c r="C100" s="494"/>
      <c r="D100" s="431"/>
      <c r="E100" s="605"/>
      <c r="F100" s="605"/>
      <c r="G100" s="605"/>
      <c r="H100" s="605"/>
      <c r="I100" s="605"/>
      <c r="J100" s="605"/>
      <c r="K100" s="605"/>
      <c r="L100" s="605"/>
      <c r="M100" s="605"/>
      <c r="N100" s="605"/>
      <c r="O100" s="605"/>
      <c r="P100" s="431"/>
      <c r="Q100" s="431"/>
      <c r="R100" s="431"/>
      <c r="S100" s="431"/>
      <c r="T100" s="431"/>
      <c r="U100" s="431"/>
      <c r="V100" s="621"/>
      <c r="W100" s="605"/>
      <c r="X100" s="605"/>
      <c r="CB100" s="447">
        <f>Apoio!B358</f>
        <v>0</v>
      </c>
      <c r="CC100" s="531" t="e">
        <f>Apoio!C485</f>
        <v>#N/A</v>
      </c>
      <c r="CD100" s="532" t="e">
        <f>Apoio!D485</f>
        <v>#N/A</v>
      </c>
      <c r="CE100" s="533" t="e">
        <f ca="1">Apoio!E485</f>
        <v>#N/A</v>
      </c>
      <c r="CN100" s="618"/>
      <c r="CO100" s="406">
        <v>14</v>
      </c>
      <c r="CP100" s="406"/>
      <c r="CQ100" s="767">
        <v>1941</v>
      </c>
    </row>
    <row r="101" spans="2:96" ht="2.25" customHeight="1" x14ac:dyDescent="0.2">
      <c r="B101" s="621"/>
      <c r="C101" s="494"/>
      <c r="D101" s="431"/>
      <c r="E101" s="605"/>
      <c r="F101" s="605"/>
      <c r="G101" s="605"/>
      <c r="H101" s="605"/>
      <c r="I101" s="605"/>
      <c r="J101" s="605"/>
      <c r="K101" s="605"/>
      <c r="L101" s="605"/>
      <c r="M101" s="605"/>
      <c r="N101" s="605"/>
      <c r="O101" s="605"/>
      <c r="P101" s="431"/>
      <c r="Q101" s="431"/>
      <c r="R101" s="431"/>
      <c r="S101" s="431"/>
      <c r="T101" s="431"/>
      <c r="U101" s="431"/>
      <c r="V101" s="621"/>
      <c r="CB101" s="447">
        <f>Apoio!B359</f>
        <v>0</v>
      </c>
      <c r="CC101" s="531" t="e">
        <f>Apoio!C486</f>
        <v>#N/A</v>
      </c>
      <c r="CD101" s="532" t="e">
        <f>Apoio!D486</f>
        <v>#N/A</v>
      </c>
      <c r="CE101" s="533" t="e">
        <f ca="1">Apoio!E486</f>
        <v>#N/A</v>
      </c>
      <c r="CN101" s="618"/>
      <c r="CO101" s="406">
        <v>15</v>
      </c>
      <c r="CP101" s="406"/>
      <c r="CQ101" s="767">
        <v>1942</v>
      </c>
    </row>
    <row r="102" spans="2:96" ht="9.9499999999999993" customHeight="1" x14ac:dyDescent="0.2">
      <c r="B102" s="621"/>
      <c r="C102" s="494"/>
      <c r="D102" s="853" t="s">
        <v>768</v>
      </c>
      <c r="E102" s="853"/>
      <c r="F102" s="853"/>
      <c r="G102" s="853"/>
      <c r="H102" s="605"/>
      <c r="I102" s="605"/>
      <c r="J102" s="605"/>
      <c r="K102" s="605"/>
      <c r="L102" s="605"/>
      <c r="M102" s="605"/>
      <c r="N102" s="605"/>
      <c r="O102" s="605"/>
      <c r="P102" s="431"/>
      <c r="Q102" s="431"/>
      <c r="R102" s="431"/>
      <c r="S102" s="431"/>
      <c r="T102" s="431"/>
      <c r="U102" s="431"/>
      <c r="V102" s="621"/>
      <c r="CB102" s="447">
        <f>Apoio!B360</f>
        <v>0</v>
      </c>
      <c r="CC102" s="531" t="e">
        <f>Apoio!C487</f>
        <v>#N/A</v>
      </c>
      <c r="CD102" s="532" t="e">
        <f>Apoio!D487</f>
        <v>#N/A</v>
      </c>
      <c r="CE102" s="533" t="e">
        <f ca="1">Apoio!E487</f>
        <v>#N/A</v>
      </c>
      <c r="CN102" s="618"/>
      <c r="CO102" s="406">
        <v>16</v>
      </c>
      <c r="CP102" s="406"/>
      <c r="CQ102" s="767">
        <v>1943</v>
      </c>
    </row>
    <row r="103" spans="2:96" ht="9.9499999999999993" customHeight="1" x14ac:dyDescent="0.2">
      <c r="B103" s="621"/>
      <c r="C103" s="494"/>
      <c r="D103" s="853"/>
      <c r="E103" s="853"/>
      <c r="F103" s="853"/>
      <c r="G103" s="853"/>
      <c r="H103" s="605"/>
      <c r="I103" s="605"/>
      <c r="J103" s="605"/>
      <c r="K103" s="605"/>
      <c r="L103" s="605"/>
      <c r="M103" s="605"/>
      <c r="N103" s="605"/>
      <c r="O103" s="605"/>
      <c r="P103" s="431"/>
      <c r="Q103" s="431"/>
      <c r="R103" s="431"/>
      <c r="S103" s="431"/>
      <c r="T103" s="431"/>
      <c r="U103" s="431"/>
      <c r="V103" s="621"/>
      <c r="CB103" s="447">
        <f>Apoio!B361</f>
        <v>0</v>
      </c>
      <c r="CC103" s="531" t="e">
        <f>Apoio!C488</f>
        <v>#N/A</v>
      </c>
      <c r="CD103" s="532" t="e">
        <f>Apoio!D488</f>
        <v>#N/A</v>
      </c>
      <c r="CE103" s="533" t="e">
        <f ca="1">Apoio!E488</f>
        <v>#N/A</v>
      </c>
      <c r="CN103" s="618"/>
      <c r="CO103" s="406">
        <v>17</v>
      </c>
      <c r="CP103" s="406"/>
      <c r="CQ103" s="767">
        <v>1944</v>
      </c>
    </row>
    <row r="104" spans="2:96" ht="12.75" customHeight="1" thickBot="1" x14ac:dyDescent="0.25">
      <c r="B104" s="621"/>
      <c r="C104" s="494"/>
      <c r="D104" s="854"/>
      <c r="E104" s="854"/>
      <c r="F104" s="854"/>
      <c r="G104" s="854"/>
      <c r="H104" s="591"/>
      <c r="I104" s="591"/>
      <c r="J104" s="591"/>
      <c r="K104" s="591"/>
      <c r="L104" s="591"/>
      <c r="M104" s="591"/>
      <c r="N104" s="591"/>
      <c r="O104" s="591"/>
      <c r="P104" s="591"/>
      <c r="Q104" s="591"/>
      <c r="R104" s="591"/>
      <c r="S104" s="591"/>
      <c r="T104" s="591"/>
      <c r="U104" s="431"/>
      <c r="V104" s="621"/>
      <c r="CB104" s="447">
        <f>Apoio!B362</f>
        <v>0</v>
      </c>
      <c r="CC104" s="531" t="e">
        <f>Apoio!C489</f>
        <v>#N/A</v>
      </c>
      <c r="CD104" s="532" t="e">
        <f>Apoio!D489</f>
        <v>#N/A</v>
      </c>
      <c r="CE104" s="533" t="e">
        <f ca="1">Apoio!E489</f>
        <v>#N/A</v>
      </c>
      <c r="CN104" s="618"/>
      <c r="CO104" s="406">
        <v>18</v>
      </c>
      <c r="CP104" s="406"/>
      <c r="CQ104" s="767">
        <v>1945</v>
      </c>
    </row>
    <row r="105" spans="2:96" ht="12.75" customHeight="1" x14ac:dyDescent="0.2">
      <c r="B105" s="621"/>
      <c r="C105" s="494"/>
      <c r="D105" s="431"/>
      <c r="E105" s="431"/>
      <c r="F105" s="431"/>
      <c r="G105" s="431"/>
      <c r="H105" s="431"/>
      <c r="I105" s="431"/>
      <c r="J105" s="431"/>
      <c r="K105" s="431"/>
      <c r="L105" s="431"/>
      <c r="M105" s="431"/>
      <c r="N105" s="431"/>
      <c r="O105" s="431"/>
      <c r="P105" s="431"/>
      <c r="Q105" s="431"/>
      <c r="R105" s="431"/>
      <c r="S105" s="431"/>
      <c r="T105" s="431"/>
      <c r="U105" s="431"/>
      <c r="V105" s="621"/>
      <c r="AE105" s="1002" t="s">
        <v>167</v>
      </c>
      <c r="AF105" s="1003"/>
      <c r="AG105" s="1003"/>
      <c r="AH105" s="1003"/>
      <c r="AI105" s="1003"/>
      <c r="AJ105" s="1003"/>
      <c r="AK105" s="1003"/>
      <c r="AL105" s="1003"/>
      <c r="AM105" s="1003"/>
      <c r="AN105" s="1003"/>
      <c r="AO105" s="1003"/>
      <c r="AP105" s="1003"/>
      <c r="AQ105" s="1003"/>
      <c r="AR105" s="1003"/>
      <c r="AS105" s="1003"/>
      <c r="AT105" s="1003"/>
      <c r="AU105" s="1003"/>
      <c r="AV105" s="1003"/>
      <c r="AW105" s="1003"/>
      <c r="AX105" s="1003"/>
      <c r="AY105" s="1003"/>
      <c r="AZ105" s="1004"/>
      <c r="CB105" s="447">
        <f>Apoio!B363</f>
        <v>0</v>
      </c>
      <c r="CC105" s="531" t="e">
        <f>Apoio!C490</f>
        <v>#N/A</v>
      </c>
      <c r="CD105" s="532" t="e">
        <f>Apoio!D490</f>
        <v>#N/A</v>
      </c>
      <c r="CE105" s="533" t="e">
        <f ca="1">Apoio!E490</f>
        <v>#N/A</v>
      </c>
      <c r="CN105" s="618"/>
      <c r="CO105" s="406">
        <v>19</v>
      </c>
      <c r="CP105" s="406"/>
      <c r="CQ105" s="767">
        <v>1946</v>
      </c>
    </row>
    <row r="106" spans="2:96" ht="12.75" customHeight="1" x14ac:dyDescent="0.2">
      <c r="B106" s="621"/>
      <c r="C106" s="494"/>
      <c r="D106" s="431"/>
      <c r="E106" s="605"/>
      <c r="F106" s="605"/>
      <c r="G106" s="605"/>
      <c r="H106" s="605"/>
      <c r="I106" s="605"/>
      <c r="J106" s="605"/>
      <c r="K106" s="605"/>
      <c r="L106" s="605"/>
      <c r="M106" s="605"/>
      <c r="N106" s="605"/>
      <c r="O106" s="605"/>
      <c r="P106" s="431"/>
      <c r="Q106" s="431"/>
      <c r="R106" s="431"/>
      <c r="S106" s="431"/>
      <c r="T106" s="431"/>
      <c r="U106" s="431"/>
      <c r="V106" s="621"/>
      <c r="AE106" s="1005"/>
      <c r="AF106" s="1006"/>
      <c r="AG106" s="1006"/>
      <c r="AH106" s="1006"/>
      <c r="AI106" s="1006"/>
      <c r="AJ106" s="1006"/>
      <c r="AK106" s="1006"/>
      <c r="AL106" s="1006"/>
      <c r="AM106" s="1006"/>
      <c r="AN106" s="1006"/>
      <c r="AO106" s="1006"/>
      <c r="AP106" s="1006"/>
      <c r="AQ106" s="1006"/>
      <c r="AR106" s="1006"/>
      <c r="AS106" s="1006"/>
      <c r="AT106" s="1006"/>
      <c r="AU106" s="1006"/>
      <c r="AV106" s="1006"/>
      <c r="AW106" s="1006"/>
      <c r="AX106" s="1006"/>
      <c r="AY106" s="1006"/>
      <c r="AZ106" s="1007"/>
      <c r="CB106" s="447">
        <f>Apoio!B364</f>
        <v>0</v>
      </c>
      <c r="CC106" s="531" t="e">
        <f>Apoio!C491</f>
        <v>#N/A</v>
      </c>
      <c r="CD106" s="532" t="e">
        <f>Apoio!D491</f>
        <v>#N/A</v>
      </c>
      <c r="CE106" s="533" t="e">
        <f ca="1">Apoio!E491</f>
        <v>#N/A</v>
      </c>
      <c r="CN106" s="618"/>
      <c r="CO106" s="406">
        <v>20</v>
      </c>
      <c r="CP106" s="406"/>
      <c r="CQ106" s="767">
        <v>1947</v>
      </c>
    </row>
    <row r="107" spans="2:96" ht="12.75" customHeight="1" x14ac:dyDescent="0.2">
      <c r="B107" s="621"/>
      <c r="C107" s="494"/>
      <c r="D107" s="431"/>
      <c r="E107" s="605"/>
      <c r="F107" s="605"/>
      <c r="G107" s="605"/>
      <c r="H107" s="605"/>
      <c r="I107" s="605"/>
      <c r="J107" s="605"/>
      <c r="K107" s="605"/>
      <c r="L107" s="605"/>
      <c r="M107" s="605"/>
      <c r="N107" s="605"/>
      <c r="O107" s="605"/>
      <c r="P107" s="431"/>
      <c r="Q107" s="431"/>
      <c r="R107" s="431"/>
      <c r="S107" s="431"/>
      <c r="T107" s="431"/>
      <c r="U107" s="431"/>
      <c r="V107" s="621"/>
      <c r="AE107" s="1008"/>
      <c r="AF107" s="1009"/>
      <c r="AG107" s="1009"/>
      <c r="AH107" s="1009"/>
      <c r="AI107" s="1009"/>
      <c r="AJ107" s="1009"/>
      <c r="AK107" s="1009"/>
      <c r="AL107" s="1009"/>
      <c r="AM107" s="1009"/>
      <c r="AN107" s="1009"/>
      <c r="AO107" s="1009"/>
      <c r="AP107" s="1009"/>
      <c r="AQ107" s="1009"/>
      <c r="AR107" s="1009"/>
      <c r="AS107" s="1009"/>
      <c r="AT107" s="1009"/>
      <c r="AU107" s="1009"/>
      <c r="AV107" s="1009"/>
      <c r="AW107" s="1009"/>
      <c r="AX107" s="1009"/>
      <c r="AY107" s="1009"/>
      <c r="AZ107" s="1010"/>
      <c r="CB107" s="447">
        <f>Apoio!B365</f>
        <v>0</v>
      </c>
      <c r="CC107" s="531" t="e">
        <f>Apoio!C492</f>
        <v>#N/A</v>
      </c>
      <c r="CD107" s="532" t="e">
        <f>Apoio!D492</f>
        <v>#N/A</v>
      </c>
      <c r="CE107" s="533" t="e">
        <f ca="1">Apoio!E492</f>
        <v>#N/A</v>
      </c>
      <c r="CN107" s="618"/>
      <c r="CO107" s="406">
        <v>21</v>
      </c>
      <c r="CP107" s="406"/>
      <c r="CQ107" s="767">
        <v>1948</v>
      </c>
    </row>
    <row r="108" spans="2:96" ht="12.75" customHeight="1" x14ac:dyDescent="0.2">
      <c r="B108" s="621"/>
      <c r="C108" s="494"/>
      <c r="D108" s="431"/>
      <c r="E108" s="431"/>
      <c r="F108" s="431"/>
      <c r="G108" s="431"/>
      <c r="H108" s="431"/>
      <c r="I108" s="431"/>
      <c r="J108" s="431"/>
      <c r="K108" s="431"/>
      <c r="L108" s="431"/>
      <c r="M108" s="431"/>
      <c r="N108" s="431"/>
      <c r="O108" s="431"/>
      <c r="P108" s="431"/>
      <c r="Q108" s="431"/>
      <c r="R108" s="431"/>
      <c r="S108" s="431"/>
      <c r="T108" s="431"/>
      <c r="U108" s="431"/>
      <c r="V108" s="621"/>
      <c r="CB108" s="447">
        <f>Apoio!B366</f>
        <v>0</v>
      </c>
      <c r="CC108" s="531" t="e">
        <f>Apoio!C493</f>
        <v>#N/A</v>
      </c>
      <c r="CD108" s="532" t="e">
        <f>Apoio!D493</f>
        <v>#N/A</v>
      </c>
      <c r="CE108" s="533" t="e">
        <f ca="1">Apoio!E493</f>
        <v>#N/A</v>
      </c>
      <c r="CN108" s="618"/>
      <c r="CO108" s="406">
        <v>22</v>
      </c>
      <c r="CP108" s="406"/>
      <c r="CQ108" s="767">
        <v>1949</v>
      </c>
    </row>
    <row r="109" spans="2:96" ht="12.75" customHeight="1" x14ac:dyDescent="0.2">
      <c r="B109" s="621"/>
      <c r="C109" s="494"/>
      <c r="D109" s="859" t="s">
        <v>221</v>
      </c>
      <c r="E109" s="860"/>
      <c r="F109" s="639"/>
      <c r="G109" s="924" t="s">
        <v>157</v>
      </c>
      <c r="H109" s="924"/>
      <c r="I109" s="924" t="s">
        <v>168</v>
      </c>
      <c r="J109" s="924"/>
      <c r="K109" s="924"/>
      <c r="L109" s="924"/>
      <c r="M109" s="924" t="s">
        <v>767</v>
      </c>
      <c r="N109" s="924"/>
      <c r="O109" s="924"/>
      <c r="P109" s="924"/>
      <c r="Q109" s="859" t="s">
        <v>192</v>
      </c>
      <c r="R109" s="1012"/>
      <c r="S109" s="860"/>
      <c r="T109" s="680"/>
      <c r="U109" s="431"/>
      <c r="V109" s="621"/>
      <c r="AF109" s="976" t="s">
        <v>191</v>
      </c>
      <c r="AG109" s="978"/>
      <c r="AI109" s="976" t="s">
        <v>155</v>
      </c>
      <c r="AJ109" s="977"/>
      <c r="AK109" s="977"/>
      <c r="AL109" s="978"/>
      <c r="AM109" s="959" t="s">
        <v>154</v>
      </c>
      <c r="AN109" s="959"/>
      <c r="AO109" s="959"/>
      <c r="AP109" s="959"/>
      <c r="AQ109" s="980" t="s">
        <v>152</v>
      </c>
      <c r="AR109" s="981"/>
      <c r="AS109" s="981"/>
      <c r="AT109" s="982"/>
      <c r="AU109" s="535"/>
      <c r="AV109" s="976" t="s">
        <v>153</v>
      </c>
      <c r="AW109" s="977"/>
      <c r="AX109" s="978"/>
      <c r="CN109" s="618"/>
      <c r="CO109" s="406">
        <v>23</v>
      </c>
      <c r="CP109" s="406"/>
      <c r="CQ109" s="767">
        <v>1950</v>
      </c>
    </row>
    <row r="110" spans="2:96" ht="12.75" customHeight="1" x14ac:dyDescent="0.2">
      <c r="B110" s="621"/>
      <c r="C110" s="494"/>
      <c r="D110" s="861"/>
      <c r="E110" s="862"/>
      <c r="F110" s="639"/>
      <c r="G110" s="924"/>
      <c r="H110" s="924"/>
      <c r="I110" s="924"/>
      <c r="J110" s="924"/>
      <c r="K110" s="924"/>
      <c r="L110" s="924"/>
      <c r="M110" s="924"/>
      <c r="N110" s="924"/>
      <c r="O110" s="924"/>
      <c r="P110" s="924"/>
      <c r="Q110" s="861"/>
      <c r="R110" s="1013"/>
      <c r="S110" s="862"/>
      <c r="T110" s="680"/>
      <c r="U110" s="431"/>
      <c r="V110" s="621"/>
      <c r="AF110" s="976"/>
      <c r="AG110" s="978"/>
      <c r="AI110" s="976"/>
      <c r="AJ110" s="977"/>
      <c r="AK110" s="977"/>
      <c r="AL110" s="978"/>
      <c r="AM110" s="959"/>
      <c r="AN110" s="959"/>
      <c r="AO110" s="959"/>
      <c r="AP110" s="959"/>
      <c r="AQ110" s="983"/>
      <c r="AR110" s="984"/>
      <c r="AS110" s="984"/>
      <c r="AT110" s="985"/>
      <c r="AU110" s="536"/>
      <c r="AV110" s="976"/>
      <c r="AW110" s="977"/>
      <c r="AX110" s="978"/>
      <c r="CB110" s="447">
        <f>Apoio!B367</f>
        <v>0</v>
      </c>
      <c r="CC110" s="531" t="e">
        <f>Apoio!C494</f>
        <v>#N/A</v>
      </c>
      <c r="CD110" s="532" t="e">
        <f>Apoio!D494</f>
        <v>#N/A</v>
      </c>
      <c r="CE110" s="533" t="e">
        <f ca="1">Apoio!E494</f>
        <v>#N/A</v>
      </c>
      <c r="CN110" s="406"/>
      <c r="CO110" s="406">
        <v>24</v>
      </c>
      <c r="CP110" s="406"/>
      <c r="CQ110" s="767">
        <v>1951</v>
      </c>
    </row>
    <row r="111" spans="2:96" ht="12.75" customHeight="1" x14ac:dyDescent="0.2">
      <c r="B111" s="621"/>
      <c r="C111" s="494"/>
      <c r="D111" s="861"/>
      <c r="E111" s="862"/>
      <c r="F111" s="639"/>
      <c r="G111" s="924"/>
      <c r="H111" s="924"/>
      <c r="I111" s="924"/>
      <c r="J111" s="924"/>
      <c r="K111" s="924"/>
      <c r="L111" s="924"/>
      <c r="M111" s="924"/>
      <c r="N111" s="924"/>
      <c r="O111" s="924"/>
      <c r="P111" s="924"/>
      <c r="Q111" s="861"/>
      <c r="R111" s="1013"/>
      <c r="S111" s="862"/>
      <c r="T111" s="680"/>
      <c r="U111" s="431"/>
      <c r="V111" s="621"/>
      <c r="AF111" s="976"/>
      <c r="AG111" s="978"/>
      <c r="AI111" s="976"/>
      <c r="AJ111" s="977"/>
      <c r="AK111" s="977"/>
      <c r="AL111" s="978"/>
      <c r="AM111" s="959"/>
      <c r="AN111" s="959"/>
      <c r="AO111" s="959"/>
      <c r="AP111" s="959"/>
      <c r="AQ111" s="983"/>
      <c r="AR111" s="984"/>
      <c r="AS111" s="984"/>
      <c r="AT111" s="985"/>
      <c r="AU111" s="536"/>
      <c r="AV111" s="976"/>
      <c r="AW111" s="977"/>
      <c r="AX111" s="978"/>
      <c r="CB111" s="447">
        <f>Apoio!B368</f>
        <v>0</v>
      </c>
      <c r="CC111" s="531" t="e">
        <f>Apoio!C495</f>
        <v>#N/A</v>
      </c>
      <c r="CD111" s="532" t="e">
        <f>Apoio!D495</f>
        <v>#N/A</v>
      </c>
      <c r="CE111" s="533" t="e">
        <f ca="1">Apoio!E495</f>
        <v>#N/A</v>
      </c>
      <c r="CN111" s="618"/>
      <c r="CO111" s="406">
        <v>25</v>
      </c>
      <c r="CP111" s="406"/>
      <c r="CQ111" s="767">
        <v>1952</v>
      </c>
    </row>
    <row r="112" spans="2:96" ht="18" customHeight="1" x14ac:dyDescent="0.2">
      <c r="B112" s="621"/>
      <c r="C112" s="494"/>
      <c r="D112" s="861"/>
      <c r="E112" s="862"/>
      <c r="F112" s="639"/>
      <c r="G112" s="924"/>
      <c r="H112" s="924"/>
      <c r="I112" s="924"/>
      <c r="J112" s="924"/>
      <c r="K112" s="924"/>
      <c r="L112" s="924"/>
      <c r="M112" s="924"/>
      <c r="N112" s="924"/>
      <c r="O112" s="924"/>
      <c r="P112" s="924"/>
      <c r="Q112" s="861"/>
      <c r="R112" s="1013"/>
      <c r="S112" s="862"/>
      <c r="T112" s="680"/>
      <c r="U112" s="431"/>
      <c r="V112" s="621"/>
      <c r="AF112" s="976"/>
      <c r="AG112" s="978"/>
      <c r="AI112" s="976"/>
      <c r="AJ112" s="977"/>
      <c r="AK112" s="977"/>
      <c r="AL112" s="978"/>
      <c r="AM112" s="959"/>
      <c r="AN112" s="959"/>
      <c r="AO112" s="959"/>
      <c r="AP112" s="959"/>
      <c r="AQ112" s="983"/>
      <c r="AR112" s="984"/>
      <c r="AS112" s="984"/>
      <c r="AT112" s="985"/>
      <c r="AU112" s="536"/>
      <c r="AV112" s="976"/>
      <c r="AW112" s="977"/>
      <c r="AX112" s="978"/>
      <c r="BB112" s="951" t="s">
        <v>165</v>
      </c>
      <c r="BC112" s="952"/>
      <c r="BD112" s="953"/>
      <c r="BE112" s="967" t="s">
        <v>174</v>
      </c>
      <c r="BF112" s="968"/>
      <c r="BG112" s="969"/>
      <c r="BH112" s="942" t="s">
        <v>91</v>
      </c>
      <c r="BI112" s="943"/>
      <c r="BJ112" s="944"/>
      <c r="CB112" s="447">
        <f>Apoio!B369</f>
        <v>0</v>
      </c>
      <c r="CC112" s="531" t="e">
        <f>Apoio!C496</f>
        <v>#N/A</v>
      </c>
      <c r="CD112" s="532" t="e">
        <f>Apoio!D496</f>
        <v>#N/A</v>
      </c>
      <c r="CE112" s="533" t="e">
        <f ca="1">Apoio!E496</f>
        <v>#N/A</v>
      </c>
      <c r="CN112" s="618"/>
      <c r="CO112" s="406">
        <v>26</v>
      </c>
      <c r="CP112" s="406"/>
      <c r="CQ112" s="767">
        <v>1953</v>
      </c>
    </row>
    <row r="113" spans="2:95" ht="12.75" customHeight="1" x14ac:dyDescent="0.2">
      <c r="B113" s="621"/>
      <c r="C113" s="494"/>
      <c r="D113" s="863"/>
      <c r="E113" s="864"/>
      <c r="F113" s="639"/>
      <c r="G113" s="924"/>
      <c r="H113" s="924"/>
      <c r="I113" s="924"/>
      <c r="J113" s="924"/>
      <c r="K113" s="924"/>
      <c r="L113" s="924"/>
      <c r="M113" s="924"/>
      <c r="N113" s="924"/>
      <c r="O113" s="924"/>
      <c r="P113" s="924"/>
      <c r="Q113" s="863"/>
      <c r="R113" s="1014"/>
      <c r="S113" s="864"/>
      <c r="T113" s="680"/>
      <c r="U113" s="431"/>
      <c r="V113" s="621"/>
      <c r="AF113" s="976"/>
      <c r="AG113" s="978"/>
      <c r="AI113" s="976"/>
      <c r="AJ113" s="977"/>
      <c r="AK113" s="977"/>
      <c r="AL113" s="978"/>
      <c r="AM113" s="959"/>
      <c r="AN113" s="959"/>
      <c r="AO113" s="959"/>
      <c r="AP113" s="959"/>
      <c r="AQ113" s="986"/>
      <c r="AR113" s="987"/>
      <c r="AS113" s="987"/>
      <c r="AT113" s="988"/>
      <c r="AU113" s="535"/>
      <c r="AV113" s="976"/>
      <c r="AW113" s="977"/>
      <c r="AX113" s="978"/>
      <c r="BB113" s="954"/>
      <c r="BC113" s="909"/>
      <c r="BD113" s="955"/>
      <c r="BE113" s="970"/>
      <c r="BF113" s="971"/>
      <c r="BG113" s="972"/>
      <c r="BH113" s="945"/>
      <c r="BI113" s="946"/>
      <c r="BJ113" s="947"/>
      <c r="CB113" s="447">
        <f>Apoio!B370</f>
        <v>0</v>
      </c>
      <c r="CC113" s="531" t="e">
        <f>Apoio!C497</f>
        <v>#N/A</v>
      </c>
      <c r="CD113" s="532" t="e">
        <f>Apoio!D497</f>
        <v>#N/A</v>
      </c>
      <c r="CE113" s="533" t="e">
        <f ca="1">Apoio!E497</f>
        <v>#N/A</v>
      </c>
      <c r="CN113" s="618"/>
      <c r="CO113" s="406">
        <v>27</v>
      </c>
      <c r="CP113" s="406"/>
      <c r="CQ113" s="767">
        <v>1954</v>
      </c>
    </row>
    <row r="114" spans="2:95" ht="12.75" customHeight="1" x14ac:dyDescent="0.2">
      <c r="B114" s="621"/>
      <c r="C114" s="494"/>
      <c r="D114" s="918">
        <f ca="1">SUM(N88:P89)</f>
        <v>170508.5</v>
      </c>
      <c r="E114" s="919"/>
      <c r="F114" s="639"/>
      <c r="G114" s="851">
        <f ca="1">N89</f>
        <v>139216</v>
      </c>
      <c r="H114" s="851"/>
      <c r="I114" s="851">
        <f ca="1">IF(W14=1,(G114/E25)+(G114*E29)+'Premissas e Calculos'!R32,-PMT((E29),$E$25,$G$114,0,0)+'Premissas e Calculos'!$R$32)</f>
        <v>1120.4231415567476</v>
      </c>
      <c r="J114" s="851"/>
      <c r="K114" s="851"/>
      <c r="L114" s="851"/>
      <c r="M114" s="851">
        <f ca="1">IF(W23=1,G114/E25+'Premissas e Calculos'!R32,I114)</f>
        <v>387.9111111111111</v>
      </c>
      <c r="N114" s="851"/>
      <c r="O114" s="851"/>
      <c r="P114" s="851"/>
      <c r="Q114" s="896">
        <f>E25</f>
        <v>360</v>
      </c>
      <c r="R114" s="897"/>
      <c r="S114" s="898"/>
      <c r="T114" s="431"/>
      <c r="U114" s="431"/>
      <c r="V114" s="621"/>
      <c r="AE114" s="537"/>
      <c r="AF114" s="905">
        <f>E19*90%</f>
        <v>3600</v>
      </c>
      <c r="AG114" s="906"/>
      <c r="AI114" s="905">
        <f>'Premissas e Calculos'!M19</f>
        <v>1126.6666666666667</v>
      </c>
      <c r="AJ114" s="999"/>
      <c r="AK114" s="999"/>
      <c r="AL114" s="906"/>
      <c r="AM114" s="960">
        <f>Apoio!I352</f>
        <v>0</v>
      </c>
      <c r="AN114" s="960"/>
      <c r="AO114" s="960"/>
      <c r="AP114" s="960"/>
      <c r="AQ114" s="993" t="e">
        <f>(MAXA(IF(#REF!="Mensal",#REF!,0),IF(#REF!="Mensal",#REF!,0),IF(E83="Mensal",H83,0),IF(E85="mensal",H85,0))+(SUMIF(E74:E85,"anual",H74:H86)/12 +SUMIF(E74:E85,"semestral",H74:H86)/6+#REF!/(AM114+3)))</f>
        <v>#REF!</v>
      </c>
      <c r="AR114" s="994"/>
      <c r="AS114" s="994"/>
      <c r="AT114" s="995"/>
      <c r="AU114" s="538"/>
      <c r="AV114" s="976" t="e">
        <f>IF(AQ114&gt;AI114,"Não Aprovado","Crédito Pré-Aprovado")</f>
        <v>#REF!</v>
      </c>
      <c r="AW114" s="977"/>
      <c r="AX114" s="978"/>
      <c r="BB114" s="956"/>
      <c r="BC114" s="957"/>
      <c r="BD114" s="958"/>
      <c r="BE114" s="973"/>
      <c r="BF114" s="974"/>
      <c r="BG114" s="975"/>
      <c r="BH114" s="948"/>
      <c r="BI114" s="949"/>
      <c r="BJ114" s="950"/>
      <c r="CB114" s="447">
        <f>Apoio!B371</f>
        <v>0</v>
      </c>
      <c r="CC114" s="531" t="e">
        <f>Apoio!C498</f>
        <v>#N/A</v>
      </c>
      <c r="CD114" s="532" t="e">
        <f>Apoio!D498</f>
        <v>#N/A</v>
      </c>
      <c r="CE114" s="533" t="e">
        <f ca="1">Apoio!E498</f>
        <v>#N/A</v>
      </c>
      <c r="CN114" s="618"/>
      <c r="CO114" s="406">
        <v>28</v>
      </c>
      <c r="CP114" s="406"/>
      <c r="CQ114" s="767">
        <v>1955</v>
      </c>
    </row>
    <row r="115" spans="2:95" ht="21" customHeight="1" x14ac:dyDescent="0.2">
      <c r="B115" s="621"/>
      <c r="C115" s="494"/>
      <c r="D115" s="920"/>
      <c r="E115" s="921"/>
      <c r="F115" s="639"/>
      <c r="G115" s="851"/>
      <c r="H115" s="851"/>
      <c r="I115" s="851"/>
      <c r="J115" s="851"/>
      <c r="K115" s="851"/>
      <c r="L115" s="851"/>
      <c r="M115" s="851"/>
      <c r="N115" s="851"/>
      <c r="O115" s="851"/>
      <c r="P115" s="851"/>
      <c r="Q115" s="899"/>
      <c r="R115" s="900"/>
      <c r="S115" s="901"/>
      <c r="T115" s="431"/>
      <c r="U115" s="431"/>
      <c r="V115" s="621"/>
      <c r="AF115" s="905"/>
      <c r="AG115" s="906"/>
      <c r="AI115" s="905"/>
      <c r="AJ115" s="999"/>
      <c r="AK115" s="999"/>
      <c r="AL115" s="906"/>
      <c r="AM115" s="960"/>
      <c r="AN115" s="960"/>
      <c r="AO115" s="960"/>
      <c r="AP115" s="960"/>
      <c r="AQ115" s="996"/>
      <c r="AR115" s="997"/>
      <c r="AS115" s="997"/>
      <c r="AT115" s="998"/>
      <c r="AU115" s="538"/>
      <c r="AV115" s="976"/>
      <c r="AW115" s="977"/>
      <c r="AX115" s="978"/>
      <c r="BB115" s="979" t="e">
        <f ca="1">AQ114+SUM(Apoio!E481:E520)/'Simulador CEF'!AM114</f>
        <v>#REF!</v>
      </c>
      <c r="BC115" s="979"/>
      <c r="BD115" s="979"/>
      <c r="BE115" s="989" t="e">
        <f ca="1">IF(BB115&gt;BH115,"Parcela superior ao permitido. Aumentar a entrada ou o valor financiado.","Crédito Aprovado!")</f>
        <v>#REF!</v>
      </c>
      <c r="BF115" s="990"/>
      <c r="BG115" s="991"/>
      <c r="BH115" s="961">
        <f ca="1">'Premissas e Calculos'!M17</f>
        <v>1198.801198801199</v>
      </c>
      <c r="BI115" s="962"/>
      <c r="BJ115" s="963"/>
      <c r="CB115" s="447">
        <f>Apoio!B372</f>
        <v>0</v>
      </c>
      <c r="CC115" s="531" t="e">
        <f>Apoio!C499</f>
        <v>#N/A</v>
      </c>
      <c r="CD115" s="532" t="e">
        <f>Apoio!D499</f>
        <v>#N/A</v>
      </c>
      <c r="CE115" s="533" t="e">
        <f ca="1">Apoio!E499</f>
        <v>#N/A</v>
      </c>
      <c r="CN115" s="618"/>
      <c r="CO115" s="406">
        <v>29</v>
      </c>
      <c r="CP115" s="406"/>
      <c r="CQ115" s="767">
        <v>1956</v>
      </c>
    </row>
    <row r="116" spans="2:95" ht="15.75" customHeight="1" x14ac:dyDescent="0.2">
      <c r="B116" s="621"/>
      <c r="C116" s="494"/>
      <c r="D116" s="922"/>
      <c r="E116" s="923"/>
      <c r="F116" s="652"/>
      <c r="G116" s="851"/>
      <c r="H116" s="851"/>
      <c r="I116" s="851"/>
      <c r="J116" s="851"/>
      <c r="K116" s="851"/>
      <c r="L116" s="851"/>
      <c r="M116" s="851"/>
      <c r="N116" s="851"/>
      <c r="O116" s="851"/>
      <c r="P116" s="851"/>
      <c r="Q116" s="902"/>
      <c r="R116" s="903"/>
      <c r="S116" s="904"/>
      <c r="T116" s="431"/>
      <c r="U116" s="431"/>
      <c r="V116" s="621"/>
      <c r="BB116" s="979"/>
      <c r="BC116" s="979"/>
      <c r="BD116" s="979"/>
      <c r="BE116" s="915"/>
      <c r="BF116" s="992"/>
      <c r="BG116" s="916"/>
      <c r="BH116" s="964"/>
      <c r="BI116" s="965"/>
      <c r="BJ116" s="966"/>
      <c r="CB116" s="447">
        <f>Apoio!B373</f>
        <v>0</v>
      </c>
      <c r="CC116" s="531" t="e">
        <f>Apoio!C500</f>
        <v>#N/A</v>
      </c>
      <c r="CD116" s="532" t="e">
        <f>Apoio!D500</f>
        <v>#N/A</v>
      </c>
      <c r="CE116" s="533" t="e">
        <f ca="1">Apoio!E500</f>
        <v>#N/A</v>
      </c>
      <c r="CN116" s="618"/>
      <c r="CO116" s="406">
        <v>30</v>
      </c>
      <c r="CP116" s="406"/>
      <c r="CQ116" s="767">
        <v>1957</v>
      </c>
    </row>
    <row r="117" spans="2:95" ht="3" customHeight="1" x14ac:dyDescent="0.2">
      <c r="B117" s="621"/>
      <c r="C117" s="494"/>
      <c r="D117" s="431"/>
      <c r="E117" s="431"/>
      <c r="F117" s="673"/>
      <c r="G117" s="673"/>
      <c r="H117" s="673"/>
      <c r="I117" s="681"/>
      <c r="J117" s="682"/>
      <c r="K117" s="682"/>
      <c r="L117" s="681"/>
      <c r="M117" s="681"/>
      <c r="N117" s="683"/>
      <c r="O117" s="683"/>
      <c r="P117" s="683"/>
      <c r="Q117" s="431"/>
      <c r="R117" s="431"/>
      <c r="S117" s="431"/>
      <c r="T117" s="431"/>
      <c r="U117" s="431"/>
      <c r="V117" s="621"/>
      <c r="CB117" s="447">
        <f>Apoio!B374</f>
        <v>0</v>
      </c>
      <c r="CC117" s="531" t="e">
        <f>Apoio!C501</f>
        <v>#N/A</v>
      </c>
      <c r="CD117" s="532" t="e">
        <f>Apoio!D501</f>
        <v>#N/A</v>
      </c>
      <c r="CE117" s="533" t="e">
        <f ca="1">Apoio!E501</f>
        <v>#N/A</v>
      </c>
      <c r="CN117" s="618"/>
      <c r="CO117" s="406">
        <v>31</v>
      </c>
      <c r="CP117" s="406"/>
      <c r="CQ117" s="767">
        <v>1958</v>
      </c>
    </row>
    <row r="118" spans="2:95" ht="5.25" customHeight="1" x14ac:dyDescent="0.2">
      <c r="B118" s="621"/>
      <c r="C118" s="494"/>
      <c r="D118" s="431"/>
      <c r="E118" s="431"/>
      <c r="F118" s="684"/>
      <c r="G118" s="684"/>
      <c r="H118" s="684"/>
      <c r="I118" s="685"/>
      <c r="J118" s="431"/>
      <c r="K118" s="431"/>
      <c r="L118" s="685"/>
      <c r="M118" s="685"/>
      <c r="N118" s="431"/>
      <c r="O118" s="431"/>
      <c r="P118" s="431"/>
      <c r="Q118" s="431"/>
      <c r="R118" s="431"/>
      <c r="S118" s="431"/>
      <c r="T118" s="431"/>
      <c r="U118" s="431"/>
      <c r="V118" s="621"/>
      <c r="CB118" s="447">
        <f>Apoio!B375</f>
        <v>0</v>
      </c>
      <c r="CC118" s="531" t="e">
        <f>Apoio!C502</f>
        <v>#N/A</v>
      </c>
      <c r="CD118" s="532" t="e">
        <f>Apoio!D502</f>
        <v>#N/A</v>
      </c>
      <c r="CE118" s="533" t="e">
        <f ca="1">Apoio!E502</f>
        <v>#N/A</v>
      </c>
      <c r="CN118" s="618"/>
      <c r="CO118" s="406"/>
      <c r="CP118" s="406"/>
      <c r="CQ118" s="767">
        <v>1959</v>
      </c>
    </row>
    <row r="119" spans="2:95" ht="9.75" customHeight="1" x14ac:dyDescent="0.2">
      <c r="B119" s="621"/>
      <c r="C119" s="494"/>
      <c r="D119" s="431"/>
      <c r="E119" s="431"/>
      <c r="F119" s="431"/>
      <c r="G119" s="431"/>
      <c r="H119" s="431"/>
      <c r="I119" s="431"/>
      <c r="J119" s="431"/>
      <c r="K119" s="431"/>
      <c r="L119" s="431"/>
      <c r="M119" s="431"/>
      <c r="N119" s="431"/>
      <c r="O119" s="431"/>
      <c r="P119" s="431"/>
      <c r="Q119" s="431"/>
      <c r="R119" s="431"/>
      <c r="S119" s="431"/>
      <c r="T119" s="431"/>
      <c r="U119" s="431"/>
      <c r="V119" s="621"/>
      <c r="CB119" s="447">
        <f>Apoio!B376</f>
        <v>0</v>
      </c>
      <c r="CC119" s="531" t="e">
        <f>Apoio!C503</f>
        <v>#N/A</v>
      </c>
      <c r="CD119" s="532" t="e">
        <f>Apoio!D503</f>
        <v>#N/A</v>
      </c>
      <c r="CE119" s="533" t="e">
        <f ca="1">Apoio!E503</f>
        <v>#N/A</v>
      </c>
      <c r="CN119" s="618"/>
      <c r="CO119" s="406"/>
      <c r="CP119" s="406"/>
      <c r="CQ119" s="767">
        <v>1960</v>
      </c>
    </row>
    <row r="120" spans="2:95" ht="16.5" customHeight="1" x14ac:dyDescent="0.2">
      <c r="B120" s="621"/>
      <c r="C120" s="494"/>
      <c r="D120" s="431"/>
      <c r="E120" s="431"/>
      <c r="F120" s="684"/>
      <c r="G120" s="684"/>
      <c r="H120" s="684"/>
      <c r="I120" s="685"/>
      <c r="J120" s="431"/>
      <c r="K120" s="431"/>
      <c r="L120" s="685"/>
      <c r="M120" s="685"/>
      <c r="N120" s="431"/>
      <c r="O120" s="431"/>
      <c r="P120" s="431"/>
      <c r="Q120" s="431"/>
      <c r="R120" s="431"/>
      <c r="S120" s="431"/>
      <c r="T120" s="431"/>
      <c r="U120" s="431"/>
      <c r="V120" s="621"/>
      <c r="CB120" s="447">
        <f>Apoio!B377</f>
        <v>0</v>
      </c>
      <c r="CC120" s="531" t="e">
        <f>Apoio!C504</f>
        <v>#N/A</v>
      </c>
      <c r="CD120" s="532" t="e">
        <f>Apoio!D504</f>
        <v>#N/A</v>
      </c>
      <c r="CE120" s="533" t="e">
        <f ca="1">Apoio!E504</f>
        <v>#N/A</v>
      </c>
      <c r="CN120" s="618"/>
      <c r="CO120" s="406"/>
      <c r="CP120" s="406"/>
      <c r="CQ120" s="767">
        <v>1961</v>
      </c>
    </row>
    <row r="121" spans="2:95" ht="9" customHeight="1" x14ac:dyDescent="0.2">
      <c r="B121" s="621"/>
      <c r="C121" s="494"/>
      <c r="D121" s="431"/>
      <c r="E121" s="431"/>
      <c r="F121" s="431"/>
      <c r="G121" s="431"/>
      <c r="H121" s="431"/>
      <c r="I121" s="431"/>
      <c r="J121" s="431"/>
      <c r="K121" s="431"/>
      <c r="L121" s="431"/>
      <c r="M121" s="431"/>
      <c r="N121" s="431"/>
      <c r="O121" s="431"/>
      <c r="P121" s="431"/>
      <c r="Q121" s="431"/>
      <c r="R121" s="431"/>
      <c r="S121" s="431"/>
      <c r="T121" s="431"/>
      <c r="U121" s="431"/>
      <c r="V121" s="621"/>
      <c r="CB121" s="447">
        <f>Apoio!B378</f>
        <v>0</v>
      </c>
      <c r="CC121" s="531" t="e">
        <f>Apoio!C505</f>
        <v>#N/A</v>
      </c>
      <c r="CD121" s="532" t="e">
        <f>Apoio!D505</f>
        <v>#N/A</v>
      </c>
      <c r="CE121" s="533" t="e">
        <f ca="1">Apoio!E505</f>
        <v>#N/A</v>
      </c>
      <c r="CN121" s="618"/>
      <c r="CO121" s="406"/>
      <c r="CP121" s="406"/>
      <c r="CQ121" s="767">
        <v>1962</v>
      </c>
    </row>
    <row r="122" spans="2:95" ht="12.75" customHeight="1" x14ac:dyDescent="0.2">
      <c r="B122" s="621"/>
      <c r="C122" s="494"/>
      <c r="D122" s="431"/>
      <c r="E122" s="431"/>
      <c r="F122" s="684"/>
      <c r="G122" s="684"/>
      <c r="H122" s="684"/>
      <c r="I122" s="685"/>
      <c r="J122" s="431"/>
      <c r="K122" s="431"/>
      <c r="L122" s="685"/>
      <c r="M122" s="685"/>
      <c r="N122" s="431"/>
      <c r="O122" s="431"/>
      <c r="P122" s="431"/>
      <c r="Q122" s="431"/>
      <c r="R122" s="431"/>
      <c r="S122" s="431"/>
      <c r="T122" s="431"/>
      <c r="U122" s="431"/>
      <c r="V122" s="621"/>
      <c r="CB122" s="447">
        <f>Apoio!B379</f>
        <v>0</v>
      </c>
      <c r="CC122" s="531" t="e">
        <f>Apoio!C506</f>
        <v>#N/A</v>
      </c>
      <c r="CD122" s="532" t="e">
        <f>Apoio!D506</f>
        <v>#N/A</v>
      </c>
      <c r="CE122" s="533" t="e">
        <f ca="1">Apoio!E506</f>
        <v>#N/A</v>
      </c>
      <c r="CN122" s="618"/>
      <c r="CO122" s="406"/>
      <c r="CP122" s="406"/>
      <c r="CQ122" s="767">
        <v>1963</v>
      </c>
    </row>
    <row r="123" spans="2:95" ht="12.75" customHeight="1" x14ac:dyDescent="0.2">
      <c r="B123" s="621"/>
      <c r="C123" s="494"/>
      <c r="D123" s="431"/>
      <c r="E123" s="431"/>
      <c r="F123" s="431"/>
      <c r="G123" s="431"/>
      <c r="H123" s="431"/>
      <c r="I123" s="431"/>
      <c r="J123" s="431"/>
      <c r="K123" s="431"/>
      <c r="L123" s="431"/>
      <c r="M123" s="431"/>
      <c r="N123" s="431"/>
      <c r="O123" s="431"/>
      <c r="P123" s="431"/>
      <c r="Q123" s="431"/>
      <c r="R123" s="431"/>
      <c r="S123" s="431"/>
      <c r="T123" s="431"/>
      <c r="U123" s="431"/>
      <c r="V123" s="621"/>
      <c r="CN123" s="618"/>
      <c r="CO123" s="406"/>
      <c r="CP123" s="406"/>
      <c r="CQ123" s="767">
        <v>1964</v>
      </c>
    </row>
    <row r="124" spans="2:95" ht="12.75" customHeight="1" x14ac:dyDescent="0.2">
      <c r="B124" s="621"/>
      <c r="C124" s="494"/>
      <c r="D124" s="431"/>
      <c r="E124" s="431"/>
      <c r="F124" s="431"/>
      <c r="G124" s="431"/>
      <c r="H124" s="431"/>
      <c r="I124" s="431"/>
      <c r="J124" s="431"/>
      <c r="K124" s="431"/>
      <c r="L124" s="431"/>
      <c r="M124" s="431"/>
      <c r="N124" s="431"/>
      <c r="O124" s="431"/>
      <c r="P124" s="431"/>
      <c r="Q124" s="431"/>
      <c r="R124" s="431"/>
      <c r="S124" s="431"/>
      <c r="T124" s="431"/>
      <c r="U124" s="431"/>
      <c r="V124" s="621"/>
      <c r="AF124" s="893" t="s">
        <v>195</v>
      </c>
      <c r="AG124" s="894"/>
      <c r="AH124" s="894"/>
      <c r="AI124" s="895"/>
      <c r="AK124" s="887" t="s">
        <v>742</v>
      </c>
      <c r="AL124" s="887"/>
      <c r="AM124" s="887"/>
      <c r="AN124" s="887"/>
      <c r="AO124" s="887"/>
      <c r="AP124" s="887" t="s">
        <v>743</v>
      </c>
      <c r="AQ124" s="887"/>
      <c r="AR124" s="887"/>
      <c r="CB124" s="447">
        <f>Apoio!B380</f>
        <v>0</v>
      </c>
      <c r="CC124" s="531" t="e">
        <f>Apoio!C507</f>
        <v>#N/A</v>
      </c>
      <c r="CD124" s="532" t="e">
        <f>Apoio!D507</f>
        <v>#N/A</v>
      </c>
      <c r="CE124" s="533" t="e">
        <f ca="1">Apoio!E507</f>
        <v>#N/A</v>
      </c>
      <c r="CN124" s="406"/>
      <c r="CO124" s="406"/>
      <c r="CP124" s="406"/>
      <c r="CQ124" s="767">
        <v>1965</v>
      </c>
    </row>
    <row r="125" spans="2:95" ht="12.75" customHeight="1" x14ac:dyDescent="0.2">
      <c r="B125" s="621"/>
      <c r="C125" s="494"/>
      <c r="D125" s="431"/>
      <c r="E125" s="431"/>
      <c r="F125" s="431"/>
      <c r="G125" s="924" t="s">
        <v>197</v>
      </c>
      <c r="H125" s="924"/>
      <c r="I125" s="924"/>
      <c r="J125" s="924"/>
      <c r="K125" s="924" t="s">
        <v>194</v>
      </c>
      <c r="L125" s="924"/>
      <c r="M125" s="924"/>
      <c r="N125" s="924"/>
      <c r="O125" s="431"/>
      <c r="P125" s="431"/>
      <c r="Q125" s="431"/>
      <c r="R125" s="431"/>
      <c r="S125" s="431"/>
      <c r="T125" s="431"/>
      <c r="U125" s="431"/>
      <c r="V125" s="621"/>
      <c r="AF125" s="893"/>
      <c r="AG125" s="894"/>
      <c r="AH125" s="894"/>
      <c r="AI125" s="895"/>
      <c r="AK125" s="887"/>
      <c r="AL125" s="887"/>
      <c r="AM125" s="887"/>
      <c r="AN125" s="887"/>
      <c r="AO125" s="887"/>
      <c r="AP125" s="887"/>
      <c r="AQ125" s="887"/>
      <c r="AR125" s="887"/>
      <c r="CB125" s="447">
        <f>Apoio!B381</f>
        <v>0</v>
      </c>
      <c r="CC125" s="531" t="e">
        <f>Apoio!C508</f>
        <v>#N/A</v>
      </c>
      <c r="CD125" s="532" t="e">
        <f>Apoio!D508</f>
        <v>#N/A</v>
      </c>
      <c r="CE125" s="533" t="e">
        <f ca="1">Apoio!E508</f>
        <v>#N/A</v>
      </c>
      <c r="CN125" s="618"/>
      <c r="CO125" s="406"/>
      <c r="CP125" s="406"/>
      <c r="CQ125" s="767">
        <v>1966</v>
      </c>
    </row>
    <row r="126" spans="2:95" ht="22.5" customHeight="1" x14ac:dyDescent="0.2">
      <c r="B126" s="621"/>
      <c r="C126" s="494"/>
      <c r="D126" s="431"/>
      <c r="E126" s="431"/>
      <c r="F126" s="431"/>
      <c r="G126" s="924"/>
      <c r="H126" s="924"/>
      <c r="I126" s="924"/>
      <c r="J126" s="924"/>
      <c r="K126" s="924"/>
      <c r="L126" s="924"/>
      <c r="M126" s="924"/>
      <c r="N126" s="924"/>
      <c r="O126" s="431"/>
      <c r="P126" s="431"/>
      <c r="Q126" s="431"/>
      <c r="R126" s="431"/>
      <c r="S126" s="431"/>
      <c r="T126" s="431"/>
      <c r="U126" s="431"/>
      <c r="V126" s="621"/>
      <c r="AF126" s="893"/>
      <c r="AG126" s="894"/>
      <c r="AH126" s="894"/>
      <c r="AI126" s="895"/>
      <c r="AK126" s="887"/>
      <c r="AL126" s="887"/>
      <c r="AM126" s="887"/>
      <c r="AN126" s="887"/>
      <c r="AO126" s="887"/>
      <c r="AP126" s="887"/>
      <c r="AQ126" s="887"/>
      <c r="AR126" s="887"/>
      <c r="CB126" s="447">
        <f>Apoio!B382</f>
        <v>0</v>
      </c>
      <c r="CC126" s="531" t="e">
        <f>Apoio!C509</f>
        <v>#N/A</v>
      </c>
      <c r="CD126" s="532" t="e">
        <f>Apoio!D509</f>
        <v>#N/A</v>
      </c>
      <c r="CE126" s="533" t="e">
        <f ca="1">Apoio!E509</f>
        <v>#N/A</v>
      </c>
      <c r="CN126" s="618"/>
      <c r="CO126" s="406"/>
      <c r="CP126" s="406"/>
      <c r="CQ126" s="767">
        <v>1967</v>
      </c>
    </row>
    <row r="127" spans="2:95" ht="22.5" customHeight="1" x14ac:dyDescent="0.2">
      <c r="B127" s="621"/>
      <c r="C127" s="431"/>
      <c r="D127" s="431"/>
      <c r="E127" s="431"/>
      <c r="F127" s="431"/>
      <c r="G127" s="924"/>
      <c r="H127" s="924"/>
      <c r="I127" s="924"/>
      <c r="J127" s="924"/>
      <c r="K127" s="924"/>
      <c r="L127" s="924"/>
      <c r="M127" s="924"/>
      <c r="N127" s="924"/>
      <c r="O127" s="431"/>
      <c r="P127" s="431"/>
      <c r="Q127" s="431"/>
      <c r="R127" s="431"/>
      <c r="S127" s="431"/>
      <c r="T127" s="431"/>
      <c r="U127" s="431"/>
      <c r="V127" s="621"/>
      <c r="AF127" s="910" t="e">
        <f ca="1">SUM(I153:K192)/(Apoio!F352-AM144)</f>
        <v>#N/A</v>
      </c>
      <c r="AG127" s="911"/>
      <c r="AH127" s="911"/>
      <c r="AI127" s="912"/>
      <c r="AK127" s="892">
        <f>SUM(Q153:R192)/(AM114-F62)</f>
        <v>0</v>
      </c>
      <c r="AL127" s="892"/>
      <c r="AM127" s="892"/>
      <c r="AN127" s="892"/>
      <c r="AO127" s="892"/>
      <c r="AP127" s="892">
        <f>LARGE(Q153:R192,1)</f>
        <v>0</v>
      </c>
      <c r="AQ127" s="892"/>
      <c r="AR127" s="892"/>
      <c r="CB127" s="447">
        <f>Apoio!B383</f>
        <v>0</v>
      </c>
      <c r="CC127" s="531" t="e">
        <f>Apoio!C510</f>
        <v>#N/A</v>
      </c>
      <c r="CD127" s="532" t="e">
        <f>Apoio!D510</f>
        <v>#N/A</v>
      </c>
      <c r="CE127" s="533" t="e">
        <f ca="1">Apoio!E510</f>
        <v>#N/A</v>
      </c>
      <c r="CN127" s="618"/>
      <c r="CO127" s="406"/>
      <c r="CP127" s="406"/>
      <c r="CQ127" s="767">
        <v>1968</v>
      </c>
    </row>
    <row r="128" spans="2:95" ht="12.75" customHeight="1" x14ac:dyDescent="0.2">
      <c r="B128" s="621"/>
      <c r="C128" s="431"/>
      <c r="D128" s="431"/>
      <c r="E128" s="431"/>
      <c r="F128" s="431"/>
      <c r="G128" s="1011">
        <f ca="1">K128*15%</f>
        <v>107.45734999999998</v>
      </c>
      <c r="H128" s="1011"/>
      <c r="I128" s="1011"/>
      <c r="J128" s="1011"/>
      <c r="K128" s="851">
        <f ca="1">G114*0.95*(E27/12)</f>
        <v>716.38233333333324</v>
      </c>
      <c r="L128" s="851"/>
      <c r="M128" s="851"/>
      <c r="N128" s="851"/>
      <c r="O128" s="431"/>
      <c r="P128" s="431"/>
      <c r="Q128" s="431"/>
      <c r="R128" s="431"/>
      <c r="S128" s="431"/>
      <c r="T128" s="431"/>
      <c r="U128" s="431"/>
      <c r="V128" s="621"/>
      <c r="AF128" s="910"/>
      <c r="AG128" s="911"/>
      <c r="AH128" s="911"/>
      <c r="AI128" s="912"/>
      <c r="AK128" s="892"/>
      <c r="AL128" s="892"/>
      <c r="AM128" s="892"/>
      <c r="AN128" s="892"/>
      <c r="AO128" s="892"/>
      <c r="AP128" s="892"/>
      <c r="AQ128" s="892"/>
      <c r="AR128" s="892"/>
      <c r="CB128" s="447">
        <f>Apoio!B384</f>
        <v>0</v>
      </c>
      <c r="CC128" s="531" t="e">
        <f>Apoio!C511</f>
        <v>#N/A</v>
      </c>
      <c r="CD128" s="532" t="e">
        <f>Apoio!D511</f>
        <v>#N/A</v>
      </c>
      <c r="CE128" s="533" t="e">
        <f ca="1">Apoio!E511</f>
        <v>#N/A</v>
      </c>
      <c r="CN128" s="618"/>
      <c r="CO128" s="406"/>
      <c r="CP128" s="406"/>
      <c r="CQ128" s="767">
        <v>1969</v>
      </c>
    </row>
    <row r="129" spans="2:95" ht="43.5" customHeight="1" x14ac:dyDescent="0.2">
      <c r="B129" s="621"/>
      <c r="C129" s="431"/>
      <c r="D129" s="431"/>
      <c r="E129" s="431"/>
      <c r="F129" s="431"/>
      <c r="G129" s="1011"/>
      <c r="H129" s="1011"/>
      <c r="I129" s="1011"/>
      <c r="J129" s="1011"/>
      <c r="K129" s="851"/>
      <c r="L129" s="851"/>
      <c r="M129" s="851"/>
      <c r="N129" s="851"/>
      <c r="O129" s="431"/>
      <c r="P129" s="431"/>
      <c r="Q129" s="431"/>
      <c r="R129" s="431"/>
      <c r="S129" s="431"/>
      <c r="T129" s="431"/>
      <c r="U129" s="431"/>
      <c r="V129" s="621"/>
      <c r="CB129" s="447">
        <f>Apoio!B385</f>
        <v>0</v>
      </c>
      <c r="CC129" s="531" t="e">
        <f>Apoio!C512</f>
        <v>#N/A</v>
      </c>
      <c r="CD129" s="532" t="e">
        <f>Apoio!D512</f>
        <v>#N/A</v>
      </c>
      <c r="CE129" s="533" t="e">
        <f ca="1">Apoio!E512</f>
        <v>#N/A</v>
      </c>
      <c r="CN129" s="618"/>
      <c r="CO129" s="406"/>
      <c r="CP129" s="406"/>
      <c r="CQ129" s="767">
        <v>1970</v>
      </c>
    </row>
    <row r="130" spans="2:95" ht="12.75" customHeight="1" x14ac:dyDescent="0.2">
      <c r="B130" s="621"/>
      <c r="C130" s="431"/>
      <c r="D130" s="431"/>
      <c r="E130" s="431"/>
      <c r="F130" s="431"/>
      <c r="G130" s="431"/>
      <c r="H130" s="431"/>
      <c r="I130" s="431"/>
      <c r="J130" s="431"/>
      <c r="K130" s="431"/>
      <c r="L130" s="431"/>
      <c r="M130" s="431"/>
      <c r="N130" s="431"/>
      <c r="O130" s="431"/>
      <c r="P130" s="431"/>
      <c r="Q130" s="431"/>
      <c r="R130" s="431"/>
      <c r="S130" s="431"/>
      <c r="T130" s="431"/>
      <c r="U130" s="431"/>
      <c r="V130" s="621"/>
      <c r="CB130" s="447">
        <f>Apoio!B386</f>
        <v>0</v>
      </c>
      <c r="CC130" s="531" t="e">
        <f>Apoio!C513</f>
        <v>#N/A</v>
      </c>
      <c r="CD130" s="532" t="e">
        <f>Apoio!D513</f>
        <v>#N/A</v>
      </c>
      <c r="CE130" s="533" t="e">
        <f ca="1">Apoio!E513</f>
        <v>#N/A</v>
      </c>
      <c r="CN130" s="618"/>
      <c r="CO130" s="406"/>
      <c r="CP130" s="406"/>
      <c r="CQ130" s="767">
        <v>1971</v>
      </c>
    </row>
    <row r="131" spans="2:95" ht="4.5" customHeight="1" x14ac:dyDescent="0.2">
      <c r="B131" s="621"/>
      <c r="C131" s="431"/>
      <c r="D131" s="744"/>
      <c r="E131" s="744"/>
      <c r="F131" s="744"/>
      <c r="G131" s="744"/>
      <c r="H131" s="745"/>
      <c r="I131" s="745"/>
      <c r="J131" s="745"/>
      <c r="K131" s="745"/>
      <c r="L131" s="745"/>
      <c r="M131" s="744"/>
      <c r="N131" s="744"/>
      <c r="O131" s="744"/>
      <c r="P131" s="686"/>
      <c r="Q131" s="743"/>
      <c r="R131" s="743"/>
      <c r="S131" s="743"/>
      <c r="T131" s="431"/>
      <c r="U131" s="431"/>
      <c r="V131" s="621"/>
      <c r="CB131" s="447"/>
      <c r="CC131" s="531"/>
      <c r="CD131" s="532"/>
      <c r="CE131" s="533"/>
      <c r="CN131" s="618"/>
      <c r="CO131" s="406"/>
      <c r="CP131" s="406"/>
      <c r="CQ131" s="767">
        <v>1972</v>
      </c>
    </row>
    <row r="132" spans="2:95" ht="12.75" customHeight="1" x14ac:dyDescent="0.2">
      <c r="B132" s="621"/>
      <c r="C132" s="431"/>
      <c r="D132" s="917"/>
      <c r="E132" s="917"/>
      <c r="F132" s="431"/>
      <c r="G132" s="431"/>
      <c r="H132" s="876"/>
      <c r="I132" s="876"/>
      <c r="J132" s="876"/>
      <c r="K132" s="876"/>
      <c r="L132" s="876"/>
      <c r="M132" s="431"/>
      <c r="N132" s="431"/>
      <c r="O132" s="431"/>
      <c r="P132" s="686"/>
      <c r="Q132" s="431"/>
      <c r="R132" s="431"/>
      <c r="S132" s="431"/>
      <c r="T132" s="431"/>
      <c r="U132" s="431"/>
      <c r="V132" s="621"/>
      <c r="CB132" s="447">
        <f>Apoio!B387</f>
        <v>0</v>
      </c>
      <c r="CC132" s="531" t="e">
        <f>Apoio!C514</f>
        <v>#N/A</v>
      </c>
      <c r="CD132" s="532" t="e">
        <f>Apoio!D514</f>
        <v>#N/A</v>
      </c>
      <c r="CE132" s="533" t="e">
        <f ca="1">Apoio!E514</f>
        <v>#N/A</v>
      </c>
      <c r="CN132" s="618"/>
      <c r="CO132" s="406"/>
      <c r="CP132" s="406"/>
      <c r="CQ132" s="767">
        <v>1973</v>
      </c>
    </row>
    <row r="133" spans="2:95" ht="3" customHeight="1" x14ac:dyDescent="0.2">
      <c r="B133" s="621"/>
      <c r="C133" s="431"/>
      <c r="D133" s="917"/>
      <c r="E133" s="917"/>
      <c r="F133" s="431"/>
      <c r="G133" s="431"/>
      <c r="H133" s="876"/>
      <c r="I133" s="876"/>
      <c r="J133" s="876"/>
      <c r="K133" s="876"/>
      <c r="L133" s="876"/>
      <c r="M133" s="431"/>
      <c r="N133" s="431"/>
      <c r="O133" s="431"/>
      <c r="P133" s="686"/>
      <c r="Q133" s="431"/>
      <c r="R133" s="431"/>
      <c r="S133" s="431"/>
      <c r="T133" s="431"/>
      <c r="U133" s="431"/>
      <c r="V133" s="621"/>
      <c r="CB133" s="447">
        <f>Apoio!B388</f>
        <v>0</v>
      </c>
      <c r="CC133" s="531" t="e">
        <f>Apoio!C515</f>
        <v>#N/A</v>
      </c>
      <c r="CD133" s="532" t="e">
        <f>Apoio!D515</f>
        <v>#N/A</v>
      </c>
      <c r="CE133" s="533" t="e">
        <f ca="1">Apoio!E515</f>
        <v>#N/A</v>
      </c>
      <c r="CN133" s="618"/>
      <c r="CO133" s="406"/>
      <c r="CP133" s="406"/>
      <c r="CQ133" s="767">
        <v>1974</v>
      </c>
    </row>
    <row r="134" spans="2:95" ht="6" customHeight="1" x14ac:dyDescent="0.2">
      <c r="B134" s="621"/>
      <c r="C134" s="431"/>
      <c r="D134" s="431"/>
      <c r="E134" s="431"/>
      <c r="F134" s="431"/>
      <c r="G134" s="431"/>
      <c r="H134" s="431"/>
      <c r="I134" s="431"/>
      <c r="J134" s="431"/>
      <c r="K134" s="431"/>
      <c r="L134" s="431"/>
      <c r="M134" s="431"/>
      <c r="N134" s="431"/>
      <c r="O134" s="431"/>
      <c r="P134" s="431"/>
      <c r="Q134" s="431"/>
      <c r="R134" s="431"/>
      <c r="S134" s="431"/>
      <c r="T134" s="431"/>
      <c r="U134" s="431"/>
      <c r="V134" s="621"/>
      <c r="CB134" s="447">
        <f>Apoio!B389</f>
        <v>0</v>
      </c>
      <c r="CC134" s="531" t="e">
        <f>Apoio!C516</f>
        <v>#N/A</v>
      </c>
      <c r="CD134" s="532" t="e">
        <f>Apoio!D516</f>
        <v>#N/A</v>
      </c>
      <c r="CE134" s="533" t="e">
        <f ca="1">Apoio!E516</f>
        <v>#N/A</v>
      </c>
      <c r="CN134" s="618"/>
      <c r="CO134" s="406"/>
      <c r="CP134" s="406"/>
      <c r="CQ134" s="767">
        <v>1975</v>
      </c>
    </row>
    <row r="135" spans="2:95" ht="9" customHeight="1" x14ac:dyDescent="0.2">
      <c r="B135" s="621"/>
      <c r="C135" s="431"/>
      <c r="D135" s="431"/>
      <c r="E135" s="431"/>
      <c r="F135" s="431"/>
      <c r="G135" s="431"/>
      <c r="H135" s="431"/>
      <c r="I135" s="431"/>
      <c r="J135" s="431"/>
      <c r="K135" s="431"/>
      <c r="L135" s="431"/>
      <c r="M135" s="431"/>
      <c r="N135" s="431"/>
      <c r="O135" s="431"/>
      <c r="P135" s="431"/>
      <c r="Q135" s="431"/>
      <c r="R135" s="431"/>
      <c r="S135" s="431"/>
      <c r="T135" s="431"/>
      <c r="U135" s="431"/>
      <c r="V135" s="621"/>
      <c r="CB135" s="447">
        <f>Apoio!B390</f>
        <v>0</v>
      </c>
      <c r="CC135" s="531" t="e">
        <f>Apoio!C517</f>
        <v>#N/A</v>
      </c>
      <c r="CD135" s="532" t="e">
        <f>Apoio!D517</f>
        <v>#N/A</v>
      </c>
      <c r="CE135" s="533" t="e">
        <f ca="1">Apoio!E517</f>
        <v>#N/A</v>
      </c>
      <c r="CN135" s="618"/>
      <c r="CO135" s="406"/>
      <c r="CP135" s="406"/>
      <c r="CQ135" s="767">
        <v>1976</v>
      </c>
    </row>
    <row r="136" spans="2:95" ht="12.75" customHeight="1" x14ac:dyDescent="0.2">
      <c r="B136" s="621"/>
      <c r="C136" s="431"/>
      <c r="D136" s="431"/>
      <c r="E136" s="431"/>
      <c r="F136" s="431"/>
      <c r="G136" s="431"/>
      <c r="H136" s="431"/>
      <c r="I136" s="431"/>
      <c r="J136" s="431"/>
      <c r="K136" s="431"/>
      <c r="L136" s="431"/>
      <c r="M136" s="431"/>
      <c r="N136" s="431"/>
      <c r="O136" s="431"/>
      <c r="P136" s="431"/>
      <c r="Q136" s="431"/>
      <c r="R136" s="431"/>
      <c r="S136" s="431"/>
      <c r="T136" s="431"/>
      <c r="U136" s="431"/>
      <c r="V136" s="621"/>
      <c r="CB136" s="447">
        <f>Apoio!B391</f>
        <v>0</v>
      </c>
      <c r="CC136" s="531" t="e">
        <f>Apoio!C518</f>
        <v>#N/A</v>
      </c>
      <c r="CD136" s="532" t="e">
        <f>Apoio!D518</f>
        <v>#N/A</v>
      </c>
      <c r="CE136" s="533" t="e">
        <f ca="1">Apoio!E518</f>
        <v>#N/A</v>
      </c>
      <c r="CN136" s="618"/>
      <c r="CO136" s="406"/>
      <c r="CP136" s="406"/>
      <c r="CQ136" s="767">
        <v>1977</v>
      </c>
    </row>
    <row r="137" spans="2:95" ht="12.75" customHeight="1" x14ac:dyDescent="0.2">
      <c r="B137" s="621"/>
      <c r="C137" s="431"/>
      <c r="D137" s="852" t="s">
        <v>239</v>
      </c>
      <c r="E137" s="852"/>
      <c r="F137" s="852"/>
      <c r="G137" s="852"/>
      <c r="H137" s="852"/>
      <c r="I137" s="852"/>
      <c r="J137" s="852"/>
      <c r="K137" s="852"/>
      <c r="L137" s="852"/>
      <c r="M137" s="852"/>
      <c r="N137" s="852"/>
      <c r="O137" s="852"/>
      <c r="P137" s="852"/>
      <c r="Q137" s="852"/>
      <c r="R137" s="852"/>
      <c r="S137" s="852"/>
      <c r="T137" s="431"/>
      <c r="U137" s="431"/>
      <c r="V137" s="621"/>
      <c r="CB137" s="447">
        <f>Apoio!B392</f>
        <v>0</v>
      </c>
      <c r="CC137" s="531" t="e">
        <f>Apoio!C519</f>
        <v>#N/A</v>
      </c>
      <c r="CD137" s="532" t="e">
        <f>Apoio!D519</f>
        <v>#N/A</v>
      </c>
      <c r="CE137" s="533" t="e">
        <f ca="1">Apoio!E519</f>
        <v>#N/A</v>
      </c>
      <c r="CN137" s="618"/>
      <c r="CO137" s="406"/>
      <c r="CP137" s="406"/>
      <c r="CQ137" s="767">
        <v>1978</v>
      </c>
    </row>
    <row r="138" spans="2:95" ht="12.75" customHeight="1" x14ac:dyDescent="0.2">
      <c r="B138" s="621"/>
      <c r="C138" s="431"/>
      <c r="D138" s="852"/>
      <c r="E138" s="852"/>
      <c r="F138" s="852"/>
      <c r="G138" s="852"/>
      <c r="H138" s="852"/>
      <c r="I138" s="852"/>
      <c r="J138" s="852"/>
      <c r="K138" s="852"/>
      <c r="L138" s="852"/>
      <c r="M138" s="852"/>
      <c r="N138" s="852"/>
      <c r="O138" s="852"/>
      <c r="P138" s="852"/>
      <c r="Q138" s="852"/>
      <c r="R138" s="852"/>
      <c r="S138" s="852"/>
      <c r="T138" s="431"/>
      <c r="U138" s="431"/>
      <c r="V138" s="621"/>
      <c r="CB138" s="447">
        <f>Apoio!B393</f>
        <v>0</v>
      </c>
      <c r="CC138" s="531" t="e">
        <f>Apoio!C520</f>
        <v>#N/A</v>
      </c>
      <c r="CD138" s="532" t="e">
        <f>Apoio!D520</f>
        <v>#N/A</v>
      </c>
      <c r="CE138" s="533" t="e">
        <f ca="1">Apoio!E520</f>
        <v>#N/A</v>
      </c>
      <c r="CN138" s="618"/>
      <c r="CO138" s="406"/>
      <c r="CP138" s="406"/>
      <c r="CQ138" s="767">
        <v>1979</v>
      </c>
    </row>
    <row r="139" spans="2:95" ht="9.75" customHeight="1" x14ac:dyDescent="0.2">
      <c r="B139" s="621"/>
      <c r="C139" s="431"/>
      <c r="D139" s="852"/>
      <c r="E139" s="852"/>
      <c r="F139" s="852"/>
      <c r="G139" s="852"/>
      <c r="H139" s="852"/>
      <c r="I139" s="852"/>
      <c r="J139" s="852"/>
      <c r="K139" s="852"/>
      <c r="L139" s="852"/>
      <c r="M139" s="852"/>
      <c r="N139" s="852"/>
      <c r="O139" s="852"/>
      <c r="P139" s="852"/>
      <c r="Q139" s="852"/>
      <c r="R139" s="852"/>
      <c r="S139" s="852"/>
      <c r="T139" s="431"/>
      <c r="U139" s="431"/>
      <c r="V139" s="621"/>
      <c r="CN139" s="618"/>
      <c r="CO139" s="406"/>
      <c r="CP139" s="406"/>
      <c r="CQ139" s="767">
        <v>1980</v>
      </c>
    </row>
    <row r="140" spans="2:95" ht="23.25" customHeight="1" x14ac:dyDescent="0.2">
      <c r="B140" s="621"/>
      <c r="C140" s="431"/>
      <c r="D140" s="431"/>
      <c r="E140" s="431"/>
      <c r="F140" s="431"/>
      <c r="G140" s="431"/>
      <c r="H140" s="431"/>
      <c r="I140" s="431"/>
      <c r="J140" s="431"/>
      <c r="K140" s="431"/>
      <c r="L140" s="431"/>
      <c r="M140" s="431"/>
      <c r="N140" s="431"/>
      <c r="O140" s="431"/>
      <c r="P140" s="431"/>
      <c r="Q140" s="431"/>
      <c r="R140" s="431"/>
      <c r="S140" s="431"/>
      <c r="T140" s="431"/>
      <c r="U140" s="431"/>
      <c r="V140" s="621"/>
      <c r="CN140" s="618"/>
      <c r="CO140" s="406"/>
      <c r="CP140" s="406"/>
      <c r="CQ140" s="767">
        <v>1981</v>
      </c>
    </row>
    <row r="141" spans="2:95" ht="12.75" customHeight="1" x14ac:dyDescent="0.2">
      <c r="B141" s="621"/>
      <c r="C141" s="431"/>
      <c r="D141" s="431"/>
      <c r="E141" s="431"/>
      <c r="F141" s="431"/>
      <c r="G141" s="431"/>
      <c r="H141" s="431"/>
      <c r="I141" s="431"/>
      <c r="J141" s="431"/>
      <c r="K141" s="431"/>
      <c r="L141" s="431"/>
      <c r="M141" s="431"/>
      <c r="N141" s="431"/>
      <c r="O141" s="431"/>
      <c r="P141" s="431"/>
      <c r="Q141" s="431"/>
      <c r="R141" s="431"/>
      <c r="S141" s="431"/>
      <c r="T141" s="431"/>
      <c r="U141" s="431"/>
      <c r="V141" s="621"/>
      <c r="AM141" s="893" t="s">
        <v>173</v>
      </c>
      <c r="AN141" s="894"/>
      <c r="AO141" s="895"/>
      <c r="CN141" s="618"/>
      <c r="CO141" s="406"/>
      <c r="CP141" s="406"/>
      <c r="CQ141" s="767">
        <v>1982</v>
      </c>
    </row>
    <row r="142" spans="2:95" ht="19.5" customHeight="1" thickBot="1" x14ac:dyDescent="0.25">
      <c r="B142" s="687"/>
      <c r="C142" s="688"/>
      <c r="D142" s="688"/>
      <c r="E142" s="688"/>
      <c r="F142" s="688"/>
      <c r="G142" s="688"/>
      <c r="H142" s="688"/>
      <c r="I142" s="688"/>
      <c r="J142" s="688"/>
      <c r="K142" s="688"/>
      <c r="L142" s="688"/>
      <c r="M142" s="688"/>
      <c r="N142" s="688"/>
      <c r="O142" s="688"/>
      <c r="P142" s="688"/>
      <c r="Q142" s="688"/>
      <c r="R142" s="688"/>
      <c r="S142" s="688"/>
      <c r="T142" s="688"/>
      <c r="U142" s="688"/>
      <c r="V142" s="621"/>
      <c r="AM142" s="893"/>
      <c r="AN142" s="894"/>
      <c r="AO142" s="895"/>
      <c r="CN142" s="618"/>
      <c r="CO142" s="406"/>
      <c r="CP142" s="406"/>
      <c r="CQ142" s="767">
        <v>1983</v>
      </c>
    </row>
    <row r="143" spans="2:95" ht="22.5" customHeight="1" x14ac:dyDescent="0.2">
      <c r="D143" s="446"/>
      <c r="E143" s="446"/>
      <c r="F143" s="446"/>
      <c r="G143" s="446"/>
      <c r="H143" s="446"/>
      <c r="I143" s="446"/>
      <c r="J143" s="446"/>
      <c r="K143" s="446"/>
      <c r="L143" s="446"/>
      <c r="M143" s="446"/>
      <c r="N143" s="446"/>
      <c r="O143" s="446"/>
      <c r="P143" s="446"/>
      <c r="Q143" s="446"/>
      <c r="R143" s="446"/>
      <c r="S143" s="446"/>
      <c r="T143" s="446"/>
      <c r="U143" s="446"/>
      <c r="V143" s="446"/>
      <c r="AM143" s="893"/>
      <c r="AN143" s="894"/>
      <c r="AO143" s="895"/>
      <c r="CN143" s="618"/>
    </row>
    <row r="144" spans="2:95" ht="20.25" hidden="1" customHeight="1" x14ac:dyDescent="0.2">
      <c r="D144" s="446"/>
      <c r="E144" s="446"/>
      <c r="F144" s="446"/>
      <c r="G144" s="446"/>
      <c r="H144" s="446"/>
      <c r="I144" s="446"/>
      <c r="J144" s="446"/>
      <c r="K144" s="446"/>
      <c r="L144" s="446"/>
      <c r="M144" s="446"/>
      <c r="N144" s="446"/>
      <c r="O144" s="446"/>
      <c r="P144" s="446"/>
      <c r="Q144" s="446"/>
      <c r="R144" s="446"/>
      <c r="S144" s="446"/>
      <c r="T144" s="446"/>
      <c r="U144" s="446"/>
      <c r="V144" s="446"/>
      <c r="AM144" s="907">
        <f>'Premissas e Calculos'!J30</f>
        <v>4</v>
      </c>
      <c r="AN144" s="888" t="e">
        <f>DATE(YEAR(#REF!),MONTH(#REF!)+AM144,DAY(#REF!))</f>
        <v>#REF!</v>
      </c>
      <c r="AO144" s="889"/>
      <c r="CQ144" s="763">
        <v>1984</v>
      </c>
    </row>
    <row r="145" spans="4:95" ht="20.25" hidden="1" customHeight="1" x14ac:dyDescent="0.2">
      <c r="D145" s="446"/>
      <c r="E145" s="446"/>
      <c r="F145" s="446"/>
      <c r="G145" s="446"/>
      <c r="H145" s="446"/>
      <c r="I145" s="446"/>
      <c r="J145" s="446"/>
      <c r="K145" s="446"/>
      <c r="L145" s="446"/>
      <c r="M145" s="446"/>
      <c r="N145" s="446"/>
      <c r="O145" s="446"/>
      <c r="P145" s="446"/>
      <c r="Q145" s="446"/>
      <c r="R145" s="446"/>
      <c r="S145" s="446"/>
      <c r="T145" s="446"/>
      <c r="U145" s="446"/>
      <c r="V145" s="446"/>
      <c r="AM145" s="908"/>
      <c r="AN145" s="890"/>
      <c r="AO145" s="891"/>
      <c r="CQ145" s="763">
        <v>1986</v>
      </c>
    </row>
    <row r="146" spans="4:95" ht="19.5" hidden="1" x14ac:dyDescent="0.2">
      <c r="G146" s="539"/>
      <c r="H146" s="539"/>
      <c r="I146" s="539"/>
      <c r="J146" s="539"/>
      <c r="K146" s="540"/>
      <c r="M146" s="539"/>
      <c r="R146" s="541"/>
      <c r="CQ146" s="763">
        <v>1987</v>
      </c>
    </row>
    <row r="147" spans="4:95" ht="19.5" hidden="1" customHeight="1" x14ac:dyDescent="0.2">
      <c r="L147" s="539"/>
      <c r="M147" s="539"/>
      <c r="R147" s="541"/>
      <c r="CQ147" s="763">
        <v>1988</v>
      </c>
    </row>
    <row r="148" spans="4:95" ht="24.95" hidden="1" customHeight="1" x14ac:dyDescent="0.2">
      <c r="O148" s="909"/>
      <c r="P148" s="909"/>
      <c r="CQ148" s="763">
        <v>1989</v>
      </c>
    </row>
    <row r="149" spans="4:95" hidden="1" x14ac:dyDescent="0.2">
      <c r="O149" s="909"/>
      <c r="P149" s="909"/>
      <c r="CQ149" s="763">
        <v>1990</v>
      </c>
    </row>
    <row r="150" spans="4:95" ht="12.75" hidden="1" customHeight="1" x14ac:dyDescent="0.2">
      <c r="G150" s="925" t="s">
        <v>148</v>
      </c>
      <c r="H150" s="925" t="s">
        <v>53</v>
      </c>
      <c r="I150" s="925" t="s">
        <v>150</v>
      </c>
      <c r="J150" s="925"/>
      <c r="K150" s="925"/>
      <c r="L150" s="913" t="s">
        <v>149</v>
      </c>
      <c r="M150" s="925" t="s">
        <v>15</v>
      </c>
      <c r="N150" s="925"/>
      <c r="O150" s="431"/>
      <c r="P150" s="431"/>
      <c r="Q150" s="913" t="s">
        <v>196</v>
      </c>
      <c r="R150" s="914"/>
      <c r="AA150" s="406" t="s">
        <v>177</v>
      </c>
      <c r="AB150" s="406" t="s">
        <v>178</v>
      </c>
      <c r="AC150" s="406" t="s">
        <v>179</v>
      </c>
      <c r="AD150" s="406" t="s">
        <v>180</v>
      </c>
      <c r="AE150" s="406" t="s">
        <v>181</v>
      </c>
      <c r="AF150" s="406" t="s">
        <v>182</v>
      </c>
      <c r="AG150" s="406" t="s">
        <v>183</v>
      </c>
      <c r="AH150" s="406" t="s">
        <v>184</v>
      </c>
      <c r="AI150" s="542" t="s">
        <v>185</v>
      </c>
      <c r="AJ150" s="542" t="s">
        <v>186</v>
      </c>
      <c r="AK150" s="542" t="s">
        <v>187</v>
      </c>
      <c r="AL150" s="542"/>
      <c r="CQ150" s="763">
        <v>1991</v>
      </c>
    </row>
    <row r="151" spans="4:95" ht="21" hidden="1" customHeight="1" x14ac:dyDescent="0.2">
      <c r="G151" s="925"/>
      <c r="H151" s="925"/>
      <c r="I151" s="925"/>
      <c r="J151" s="925"/>
      <c r="K151" s="925"/>
      <c r="L151" s="915"/>
      <c r="M151" s="925"/>
      <c r="N151" s="925"/>
      <c r="O151" s="431"/>
      <c r="P151" s="431"/>
      <c r="Q151" s="915"/>
      <c r="R151" s="916"/>
      <c r="AA151" s="406"/>
      <c r="AB151" s="406"/>
      <c r="AC151" s="406"/>
      <c r="AD151" s="406"/>
      <c r="AE151" s="406"/>
      <c r="AF151" s="406"/>
      <c r="AG151" s="406"/>
      <c r="AH151" s="406"/>
      <c r="AI151" s="406"/>
      <c r="AJ151" s="406"/>
      <c r="AK151" s="406"/>
      <c r="AL151" s="406"/>
      <c r="CQ151" s="763">
        <v>1992</v>
      </c>
    </row>
    <row r="152" spans="4:95" hidden="1" x14ac:dyDescent="0.2">
      <c r="O152" s="431"/>
      <c r="P152" s="431"/>
      <c r="AA152" s="406" t="e">
        <f>#REF!</f>
        <v>#REF!</v>
      </c>
      <c r="AB152" s="406" t="e">
        <f>IF(AND(AA152&gt;=#REF!,AA152&lt;(#REF!+#REF!*$C$74)),#REF!,0)</f>
        <v>#REF!</v>
      </c>
      <c r="AC152" s="406" t="e">
        <f>#REF!</f>
        <v>#REF!</v>
      </c>
      <c r="AD152" s="406" t="e">
        <f>IF(AND(AC152&gt;=#REF!,AC152&lt;(#REF!+#REF!*$C$81)),#REF!,0)</f>
        <v>#REF!</v>
      </c>
      <c r="AE152" s="406">
        <f>J83</f>
        <v>9</v>
      </c>
      <c r="AF152" s="406">
        <f t="shared" ref="AF152:AF192" si="1">IF(AND(AE152&gt;=$J$83,AE152&lt;($J$83+$F$83*$C$83)),$H$83,0)</f>
        <v>0</v>
      </c>
      <c r="AG152" s="406">
        <f>J85</f>
        <v>5</v>
      </c>
      <c r="AH152" s="406">
        <f t="shared" ref="AH152:AH192" si="2">IF(AND(AG152&gt;=$J$85,AG152&lt;($J$85+$F$85*$C$85)),$H$85,0)</f>
        <v>0</v>
      </c>
      <c r="AI152" s="406">
        <v>1</v>
      </c>
      <c r="AJ152" s="406">
        <f t="shared" ref="AJ152:AJ192" si="3">IF(AND(AI152&gt;=$J$62,AI152&lt;($J$62+$F$62*$C$62)),$H$62,0)</f>
        <v>0</v>
      </c>
      <c r="AK152" s="406">
        <v>1</v>
      </c>
      <c r="AL152" s="406" t="e">
        <f>IF(AK152=#REF!,#REF!,0)</f>
        <v>#REF!</v>
      </c>
      <c r="CQ152" s="763">
        <v>1993</v>
      </c>
    </row>
    <row r="153" spans="4:95" ht="15" hidden="1" customHeight="1" x14ac:dyDescent="0.2">
      <c r="G153" s="543">
        <v>1</v>
      </c>
      <c r="H153" s="560" t="e">
        <f>#REF!</f>
        <v>#REF!</v>
      </c>
      <c r="I153" s="841">
        <f>IF(G153&lt;=$AM$144,0,Apoio!E481)</f>
        <v>0</v>
      </c>
      <c r="J153" s="871"/>
      <c r="K153" s="842"/>
      <c r="L153" s="731" t="e">
        <f t="shared" ref="L153:L192" si="4">VLOOKUP(G153,$AC$152:$AD$333,2,FALSE)+VLOOKUP(G153,$AE$152:$AF$366,2,FALSE)+VLOOKUP(G153,$AG$152:$AH$366,2,FALSE)+VLOOKUP(G153,$AI$152:$AJ$366,2,FALSE)+VLOOKUP(G153,$AK$152:$AL$366,2,FALSE)+VLOOKUP(G153,$AA$152:$AB$366,2,FALSE)</f>
        <v>#REF!</v>
      </c>
      <c r="M153" s="841" t="e">
        <f t="shared" ref="M153:M192" si="5">L153+I153</f>
        <v>#REF!</v>
      </c>
      <c r="N153" s="842"/>
      <c r="O153" s="843"/>
      <c r="P153" s="844"/>
      <c r="Q153" s="841">
        <f t="shared" ref="Q153:Q192" si="6">VLOOKUP(G153,$AC$152:$AD$333,2,FALSE)+VLOOKUP(G153,$AE$152:$AF$366,2,FALSE)+VLOOKUP(G153,$AG$152:$AH$366,2,FALSE)+VLOOKUP(G153,$AA$152:$AB$366,2,FALSE)+IF(G153&lt;=$AM$114,I153)</f>
        <v>0</v>
      </c>
      <c r="R153" s="842"/>
      <c r="AA153" s="406" t="e">
        <f>AA152+$C$74</f>
        <v>#REF!</v>
      </c>
      <c r="AB153" s="406" t="e">
        <f>IF(AND(AA153&gt;=#REF!,AA153&lt;(#REF!+#REF!*$C$74)),#REF!,0)</f>
        <v>#REF!</v>
      </c>
      <c r="AC153" s="406" t="e">
        <f>AC152+$C$81</f>
        <v>#REF!</v>
      </c>
      <c r="AD153" s="406" t="e">
        <f>IF(AND(AC153&gt;=#REF!,AC153&lt;(#REF!+#REF!*$C$81)),#REF!,0)</f>
        <v>#REF!</v>
      </c>
      <c r="AE153" s="406">
        <f>AE152+$C$83</f>
        <v>9</v>
      </c>
      <c r="AF153" s="406">
        <f t="shared" si="1"/>
        <v>0</v>
      </c>
      <c r="AG153" s="406">
        <f>AG152+$C$85</f>
        <v>5</v>
      </c>
      <c r="AH153" s="406">
        <f t="shared" si="2"/>
        <v>0</v>
      </c>
      <c r="AI153" s="406">
        <v>2</v>
      </c>
      <c r="AJ153" s="406">
        <f t="shared" si="3"/>
        <v>0</v>
      </c>
      <c r="AK153" s="406">
        <v>2</v>
      </c>
      <c r="AL153" s="406" t="e">
        <f>IF(AK153=#REF!,#REF!,0)</f>
        <v>#REF!</v>
      </c>
      <c r="CQ153" s="763">
        <v>1994</v>
      </c>
    </row>
    <row r="154" spans="4:95" ht="15" hidden="1" customHeight="1" x14ac:dyDescent="0.2">
      <c r="G154" s="543">
        <v>2</v>
      </c>
      <c r="H154" s="560" t="e">
        <f>DATE(YEAR(H153),MONTH(H153)+1,DAY(H153))</f>
        <v>#REF!</v>
      </c>
      <c r="I154" s="841">
        <f>IF(G154&lt;=$AM$144,0,Apoio!E482)</f>
        <v>0</v>
      </c>
      <c r="J154" s="871"/>
      <c r="K154" s="842"/>
      <c r="L154" s="731" t="e">
        <f t="shared" si="4"/>
        <v>#REF!</v>
      </c>
      <c r="M154" s="841" t="e">
        <f t="shared" si="5"/>
        <v>#REF!</v>
      </c>
      <c r="N154" s="842"/>
      <c r="O154" s="843"/>
      <c r="P154" s="844"/>
      <c r="Q154" s="841">
        <f t="shared" si="6"/>
        <v>0</v>
      </c>
      <c r="R154" s="842"/>
      <c r="AA154" s="406" t="e">
        <f t="shared" ref="AA154:AA186" si="7">AA153+$C$74</f>
        <v>#REF!</v>
      </c>
      <c r="AB154" s="406" t="e">
        <f>IF(AND(AA154&gt;=#REF!,AA154&lt;(#REF!+#REF!*$C$74)),#REF!,0)</f>
        <v>#REF!</v>
      </c>
      <c r="AC154" s="406" t="e">
        <f t="shared" ref="AC154:AC186" si="8">AC153+$C$81</f>
        <v>#REF!</v>
      </c>
      <c r="AD154" s="406" t="e">
        <f>IF(AND(AC154&gt;=#REF!,AC154&lt;(#REF!+#REF!*$C$81)),#REF!,0)</f>
        <v>#REF!</v>
      </c>
      <c r="AE154" s="406">
        <f t="shared" ref="AE154:AE186" si="9">AE153+$C$83</f>
        <v>9</v>
      </c>
      <c r="AF154" s="406">
        <f t="shared" si="1"/>
        <v>0</v>
      </c>
      <c r="AG154" s="406">
        <f t="shared" ref="AG154:AG186" si="10">AG153+$C$85</f>
        <v>5</v>
      </c>
      <c r="AH154" s="406">
        <f t="shared" si="2"/>
        <v>0</v>
      </c>
      <c r="AI154" s="406">
        <v>3</v>
      </c>
      <c r="AJ154" s="406">
        <f t="shared" si="3"/>
        <v>0</v>
      </c>
      <c r="AK154" s="406">
        <v>3</v>
      </c>
      <c r="AL154" s="406" t="e">
        <f>IF(AK154=#REF!,#REF!,0)</f>
        <v>#REF!</v>
      </c>
      <c r="CQ154" s="763">
        <v>1995</v>
      </c>
    </row>
    <row r="155" spans="4:95" ht="15" hidden="1" customHeight="1" x14ac:dyDescent="0.2">
      <c r="G155" s="543">
        <v>3</v>
      </c>
      <c r="H155" s="560" t="e">
        <f t="shared" ref="H155:H192" si="11">DATE(YEAR(H154),MONTH(H154)+1,DAY(H154))</f>
        <v>#REF!</v>
      </c>
      <c r="I155" s="841">
        <f>IF(G155&lt;=$AM$144,0,Apoio!E483)</f>
        <v>0</v>
      </c>
      <c r="J155" s="871"/>
      <c r="K155" s="842"/>
      <c r="L155" s="731" t="e">
        <f t="shared" si="4"/>
        <v>#REF!</v>
      </c>
      <c r="M155" s="841" t="e">
        <f t="shared" si="5"/>
        <v>#REF!</v>
      </c>
      <c r="N155" s="842"/>
      <c r="O155" s="843"/>
      <c r="P155" s="844"/>
      <c r="Q155" s="841">
        <f t="shared" si="6"/>
        <v>0</v>
      </c>
      <c r="R155" s="842"/>
      <c r="AA155" s="406" t="e">
        <f t="shared" si="7"/>
        <v>#REF!</v>
      </c>
      <c r="AB155" s="406" t="e">
        <f>IF(AND(AA155&gt;=#REF!,AA155&lt;(#REF!+#REF!*$C$74)),#REF!,0)</f>
        <v>#REF!</v>
      </c>
      <c r="AC155" s="406" t="e">
        <f t="shared" si="8"/>
        <v>#REF!</v>
      </c>
      <c r="AD155" s="406" t="e">
        <f>IF(AND(AC155&gt;=#REF!,AC155&lt;(#REF!+#REF!*$C$81)),#REF!,0)</f>
        <v>#REF!</v>
      </c>
      <c r="AE155" s="406">
        <f t="shared" si="9"/>
        <v>9</v>
      </c>
      <c r="AF155" s="406">
        <f t="shared" si="1"/>
        <v>0</v>
      </c>
      <c r="AG155" s="406">
        <f t="shared" si="10"/>
        <v>5</v>
      </c>
      <c r="AH155" s="406">
        <f t="shared" si="2"/>
        <v>0</v>
      </c>
      <c r="AI155" s="406">
        <v>4</v>
      </c>
      <c r="AJ155" s="406">
        <f t="shared" si="3"/>
        <v>0</v>
      </c>
      <c r="AK155" s="406">
        <v>4</v>
      </c>
      <c r="AL155" s="406" t="e">
        <f>IF(AK155=#REF!,#REF!,0)</f>
        <v>#REF!</v>
      </c>
      <c r="CQ155" s="763">
        <v>1996</v>
      </c>
    </row>
    <row r="156" spans="4:95" ht="15" hidden="1" customHeight="1" x14ac:dyDescent="0.2">
      <c r="G156" s="543">
        <v>4</v>
      </c>
      <c r="H156" s="560" t="e">
        <f t="shared" si="11"/>
        <v>#REF!</v>
      </c>
      <c r="I156" s="841">
        <f>IF(G156&lt;=$AM$144,0,Apoio!E484)</f>
        <v>0</v>
      </c>
      <c r="J156" s="871"/>
      <c r="K156" s="842"/>
      <c r="L156" s="731" t="e">
        <f t="shared" si="4"/>
        <v>#REF!</v>
      </c>
      <c r="M156" s="841" t="e">
        <f t="shared" si="5"/>
        <v>#REF!</v>
      </c>
      <c r="N156" s="842"/>
      <c r="O156" s="843"/>
      <c r="P156" s="844"/>
      <c r="Q156" s="841">
        <f t="shared" si="6"/>
        <v>0</v>
      </c>
      <c r="R156" s="842"/>
      <c r="AA156" s="406" t="e">
        <f t="shared" si="7"/>
        <v>#REF!</v>
      </c>
      <c r="AB156" s="406" t="e">
        <f>IF(AND(AA156&gt;=#REF!,AA156&lt;(#REF!+#REF!*$C$74)),#REF!,0)</f>
        <v>#REF!</v>
      </c>
      <c r="AC156" s="406" t="e">
        <f t="shared" si="8"/>
        <v>#REF!</v>
      </c>
      <c r="AD156" s="406" t="e">
        <f>IF(AND(AC156&gt;=#REF!,AC156&lt;(#REF!+#REF!*$C$81)),#REF!,0)</f>
        <v>#REF!</v>
      </c>
      <c r="AE156" s="406">
        <f t="shared" si="9"/>
        <v>9</v>
      </c>
      <c r="AF156" s="406">
        <f t="shared" si="1"/>
        <v>0</v>
      </c>
      <c r="AG156" s="406">
        <f t="shared" si="10"/>
        <v>5</v>
      </c>
      <c r="AH156" s="406">
        <f t="shared" si="2"/>
        <v>0</v>
      </c>
      <c r="AI156" s="406">
        <v>5</v>
      </c>
      <c r="AJ156" s="406">
        <f t="shared" si="3"/>
        <v>0</v>
      </c>
      <c r="AK156" s="406">
        <v>5</v>
      </c>
      <c r="AL156" s="406" t="e">
        <f>IF(AK156=#REF!,#REF!,0)</f>
        <v>#REF!</v>
      </c>
      <c r="CQ156" s="763">
        <v>1997</v>
      </c>
    </row>
    <row r="157" spans="4:95" ht="15" hidden="1" customHeight="1" x14ac:dyDescent="0.2">
      <c r="G157" s="543">
        <v>5</v>
      </c>
      <c r="H157" s="560" t="e">
        <f t="shared" si="11"/>
        <v>#REF!</v>
      </c>
      <c r="I157" s="841" t="e">
        <f ca="1">IF(G157&lt;=$AM$144,0,Apoio!E485)</f>
        <v>#N/A</v>
      </c>
      <c r="J157" s="871"/>
      <c r="K157" s="842"/>
      <c r="L157" s="731" t="e">
        <f t="shared" si="4"/>
        <v>#REF!</v>
      </c>
      <c r="M157" s="841" t="e">
        <f t="shared" ca="1" si="5"/>
        <v>#REF!</v>
      </c>
      <c r="N157" s="842"/>
      <c r="O157" s="843"/>
      <c r="P157" s="844"/>
      <c r="Q157" s="841">
        <f t="shared" si="6"/>
        <v>0</v>
      </c>
      <c r="R157" s="842"/>
      <c r="AA157" s="406" t="e">
        <f t="shared" si="7"/>
        <v>#REF!</v>
      </c>
      <c r="AB157" s="406" t="e">
        <f>IF(AND(AA157&gt;=#REF!,AA157&lt;(#REF!+#REF!*$C$74)),#REF!,0)</f>
        <v>#REF!</v>
      </c>
      <c r="AC157" s="406" t="e">
        <f t="shared" si="8"/>
        <v>#REF!</v>
      </c>
      <c r="AD157" s="406" t="e">
        <f>IF(AND(AC157&gt;=#REF!,AC157&lt;(#REF!+#REF!*$C$81)),#REF!,0)</f>
        <v>#REF!</v>
      </c>
      <c r="AE157" s="406">
        <f t="shared" si="9"/>
        <v>9</v>
      </c>
      <c r="AF157" s="406">
        <f t="shared" si="1"/>
        <v>0</v>
      </c>
      <c r="AG157" s="406">
        <f t="shared" si="10"/>
        <v>5</v>
      </c>
      <c r="AH157" s="406">
        <f t="shared" si="2"/>
        <v>0</v>
      </c>
      <c r="AI157" s="406">
        <v>6</v>
      </c>
      <c r="AJ157" s="406">
        <f t="shared" si="3"/>
        <v>0</v>
      </c>
      <c r="AK157" s="406">
        <v>6</v>
      </c>
      <c r="AL157" s="406" t="e">
        <f>IF(AK157=#REF!,#REF!,0)</f>
        <v>#REF!</v>
      </c>
      <c r="CQ157" s="763">
        <v>1998</v>
      </c>
    </row>
    <row r="158" spans="4:95" ht="15" hidden="1" customHeight="1" x14ac:dyDescent="0.2">
      <c r="G158" s="543">
        <v>6</v>
      </c>
      <c r="H158" s="560" t="e">
        <f t="shared" si="11"/>
        <v>#REF!</v>
      </c>
      <c r="I158" s="841" t="e">
        <f ca="1">IF(G158&lt;=$AM$144,0,Apoio!E486)</f>
        <v>#N/A</v>
      </c>
      <c r="J158" s="871"/>
      <c r="K158" s="842"/>
      <c r="L158" s="731" t="e">
        <f t="shared" si="4"/>
        <v>#REF!</v>
      </c>
      <c r="M158" s="841" t="e">
        <f t="shared" ca="1" si="5"/>
        <v>#REF!</v>
      </c>
      <c r="N158" s="842"/>
      <c r="O158" s="843"/>
      <c r="P158" s="844"/>
      <c r="Q158" s="841">
        <f t="shared" si="6"/>
        <v>0</v>
      </c>
      <c r="R158" s="842"/>
      <c r="AA158" s="406" t="e">
        <f t="shared" si="7"/>
        <v>#REF!</v>
      </c>
      <c r="AB158" s="406" t="e">
        <f>IF(AND(AA158&gt;=#REF!,AA158&lt;(#REF!+#REF!*$C$74)),#REF!,0)</f>
        <v>#REF!</v>
      </c>
      <c r="AC158" s="406" t="e">
        <f t="shared" si="8"/>
        <v>#REF!</v>
      </c>
      <c r="AD158" s="406" t="e">
        <f>IF(AND(AC158&gt;=#REF!,AC158&lt;(#REF!+#REF!*$C$81)),#REF!,0)</f>
        <v>#REF!</v>
      </c>
      <c r="AE158" s="406">
        <f t="shared" si="9"/>
        <v>9</v>
      </c>
      <c r="AF158" s="406">
        <f t="shared" si="1"/>
        <v>0</v>
      </c>
      <c r="AG158" s="406">
        <f t="shared" si="10"/>
        <v>5</v>
      </c>
      <c r="AH158" s="406">
        <f t="shared" si="2"/>
        <v>0</v>
      </c>
      <c r="AI158" s="406">
        <v>7</v>
      </c>
      <c r="AJ158" s="406">
        <f t="shared" si="3"/>
        <v>0</v>
      </c>
      <c r="AK158" s="406">
        <v>7</v>
      </c>
      <c r="AL158" s="406" t="e">
        <f>IF(AK158=#REF!,#REF!,0)</f>
        <v>#REF!</v>
      </c>
      <c r="CQ158" s="763">
        <v>1999</v>
      </c>
    </row>
    <row r="159" spans="4:95" ht="15" hidden="1" customHeight="1" x14ac:dyDescent="0.2">
      <c r="G159" s="543">
        <v>7</v>
      </c>
      <c r="H159" s="560" t="e">
        <f t="shared" si="11"/>
        <v>#REF!</v>
      </c>
      <c r="I159" s="841" t="e">
        <f ca="1">IF(G159&lt;=$AM$144,0,Apoio!E487)</f>
        <v>#N/A</v>
      </c>
      <c r="J159" s="871"/>
      <c r="K159" s="842"/>
      <c r="L159" s="731" t="e">
        <f t="shared" si="4"/>
        <v>#REF!</v>
      </c>
      <c r="M159" s="841" t="e">
        <f t="shared" ca="1" si="5"/>
        <v>#REF!</v>
      </c>
      <c r="N159" s="842"/>
      <c r="O159" s="843"/>
      <c r="P159" s="844"/>
      <c r="Q159" s="841">
        <f t="shared" si="6"/>
        <v>0</v>
      </c>
      <c r="R159" s="842"/>
      <c r="AA159" s="406" t="e">
        <f t="shared" si="7"/>
        <v>#REF!</v>
      </c>
      <c r="AB159" s="406" t="e">
        <f>IF(AND(AA159&gt;=#REF!,AA159&lt;(#REF!+#REF!*$C$74)),#REF!,0)</f>
        <v>#REF!</v>
      </c>
      <c r="AC159" s="406" t="e">
        <f t="shared" si="8"/>
        <v>#REF!</v>
      </c>
      <c r="AD159" s="406" t="e">
        <f>IF(AND(AC159&gt;=#REF!,AC159&lt;(#REF!+#REF!*$C$81)),#REF!,0)</f>
        <v>#REF!</v>
      </c>
      <c r="AE159" s="406">
        <f t="shared" si="9"/>
        <v>9</v>
      </c>
      <c r="AF159" s="406">
        <f t="shared" si="1"/>
        <v>0</v>
      </c>
      <c r="AG159" s="406">
        <f t="shared" si="10"/>
        <v>5</v>
      </c>
      <c r="AH159" s="406">
        <f t="shared" si="2"/>
        <v>0</v>
      </c>
      <c r="AI159" s="406">
        <v>8</v>
      </c>
      <c r="AJ159" s="406">
        <f t="shared" si="3"/>
        <v>0</v>
      </c>
      <c r="AK159" s="406">
        <v>8</v>
      </c>
      <c r="AL159" s="406" t="e">
        <f>IF(AK159=#REF!,#REF!,0)</f>
        <v>#REF!</v>
      </c>
      <c r="CQ159" s="763">
        <v>2000</v>
      </c>
    </row>
    <row r="160" spans="4:95" ht="15" hidden="1" customHeight="1" x14ac:dyDescent="0.2">
      <c r="G160" s="543">
        <v>8</v>
      </c>
      <c r="H160" s="560" t="e">
        <f t="shared" si="11"/>
        <v>#REF!</v>
      </c>
      <c r="I160" s="841" t="e">
        <f ca="1">IF(G160&lt;=$AM$144,0,Apoio!E488)</f>
        <v>#N/A</v>
      </c>
      <c r="J160" s="871"/>
      <c r="K160" s="842"/>
      <c r="L160" s="731" t="e">
        <f t="shared" si="4"/>
        <v>#REF!</v>
      </c>
      <c r="M160" s="841" t="e">
        <f t="shared" ca="1" si="5"/>
        <v>#REF!</v>
      </c>
      <c r="N160" s="842"/>
      <c r="O160" s="843"/>
      <c r="P160" s="844"/>
      <c r="Q160" s="841">
        <f t="shared" si="6"/>
        <v>0</v>
      </c>
      <c r="R160" s="842"/>
      <c r="AA160" s="406" t="e">
        <f t="shared" si="7"/>
        <v>#REF!</v>
      </c>
      <c r="AB160" s="406" t="e">
        <f>IF(AND(AA160&gt;=#REF!,AA160&lt;(#REF!+#REF!*$C$74)),#REF!,0)</f>
        <v>#REF!</v>
      </c>
      <c r="AC160" s="406" t="e">
        <f t="shared" si="8"/>
        <v>#REF!</v>
      </c>
      <c r="AD160" s="406" t="e">
        <f>IF(AND(AC160&gt;=#REF!,AC160&lt;(#REF!+#REF!*$C$81)),#REF!,0)</f>
        <v>#REF!</v>
      </c>
      <c r="AE160" s="406">
        <f t="shared" si="9"/>
        <v>9</v>
      </c>
      <c r="AF160" s="406">
        <f t="shared" si="1"/>
        <v>0</v>
      </c>
      <c r="AG160" s="406">
        <f t="shared" si="10"/>
        <v>5</v>
      </c>
      <c r="AH160" s="406">
        <f t="shared" si="2"/>
        <v>0</v>
      </c>
      <c r="AI160" s="406">
        <v>9</v>
      </c>
      <c r="AJ160" s="406">
        <f t="shared" si="3"/>
        <v>0</v>
      </c>
      <c r="AK160" s="406">
        <v>9</v>
      </c>
      <c r="AL160" s="406" t="e">
        <f>IF(AK160=#REF!,#REF!,0)</f>
        <v>#REF!</v>
      </c>
    </row>
    <row r="161" spans="7:95" ht="15" hidden="1" customHeight="1" x14ac:dyDescent="0.2">
      <c r="G161" s="543">
        <v>9</v>
      </c>
      <c r="H161" s="560" t="e">
        <f t="shared" si="11"/>
        <v>#REF!</v>
      </c>
      <c r="I161" s="841" t="e">
        <f ca="1">IF(G161&lt;=$AM$144,0,Apoio!E489)</f>
        <v>#N/A</v>
      </c>
      <c r="J161" s="871"/>
      <c r="K161" s="842"/>
      <c r="L161" s="731" t="e">
        <f t="shared" si="4"/>
        <v>#REF!</v>
      </c>
      <c r="M161" s="841" t="e">
        <f t="shared" ca="1" si="5"/>
        <v>#REF!</v>
      </c>
      <c r="N161" s="842"/>
      <c r="O161" s="843"/>
      <c r="P161" s="844"/>
      <c r="Q161" s="841">
        <f t="shared" si="6"/>
        <v>0</v>
      </c>
      <c r="R161" s="842"/>
      <c r="AA161" s="406" t="e">
        <f t="shared" si="7"/>
        <v>#REF!</v>
      </c>
      <c r="AB161" s="406" t="e">
        <f>IF(AND(AA161&gt;=#REF!,AA161&lt;(#REF!+#REF!*$C$74)),#REF!,0)</f>
        <v>#REF!</v>
      </c>
      <c r="AC161" s="406" t="e">
        <f t="shared" si="8"/>
        <v>#REF!</v>
      </c>
      <c r="AD161" s="406" t="e">
        <f>IF(AND(AC161&gt;=#REF!,AC161&lt;(#REF!+#REF!*$C$81)),#REF!,0)</f>
        <v>#REF!</v>
      </c>
      <c r="AE161" s="406">
        <f t="shared" si="9"/>
        <v>9</v>
      </c>
      <c r="AF161" s="406">
        <f t="shared" si="1"/>
        <v>0</v>
      </c>
      <c r="AG161" s="406">
        <f t="shared" si="10"/>
        <v>5</v>
      </c>
      <c r="AH161" s="406">
        <f t="shared" si="2"/>
        <v>0</v>
      </c>
      <c r="AI161" s="406">
        <v>10</v>
      </c>
      <c r="AJ161" s="406">
        <f t="shared" si="3"/>
        <v>0</v>
      </c>
      <c r="AK161" s="406">
        <v>10</v>
      </c>
      <c r="AL161" s="406" t="e">
        <f>IF(AK161=#REF!,#REF!,0)</f>
        <v>#REF!</v>
      </c>
    </row>
    <row r="162" spans="7:95" ht="15" hidden="1" customHeight="1" x14ac:dyDescent="0.2">
      <c r="G162" s="543">
        <v>10</v>
      </c>
      <c r="H162" s="560" t="e">
        <f t="shared" si="11"/>
        <v>#REF!</v>
      </c>
      <c r="I162" s="841" t="e">
        <f ca="1">IF(G162&lt;=$AM$144,0,Apoio!E490)</f>
        <v>#N/A</v>
      </c>
      <c r="J162" s="871"/>
      <c r="K162" s="842"/>
      <c r="L162" s="731" t="e">
        <f t="shared" si="4"/>
        <v>#REF!</v>
      </c>
      <c r="M162" s="841" t="e">
        <f t="shared" ca="1" si="5"/>
        <v>#REF!</v>
      </c>
      <c r="N162" s="842"/>
      <c r="O162" s="843"/>
      <c r="P162" s="844"/>
      <c r="Q162" s="841">
        <f t="shared" si="6"/>
        <v>0</v>
      </c>
      <c r="R162" s="842"/>
      <c r="AA162" s="406" t="e">
        <f t="shared" si="7"/>
        <v>#REF!</v>
      </c>
      <c r="AB162" s="406" t="e">
        <f>IF(AND(AA162&gt;=#REF!,AA162&lt;(#REF!+#REF!*$C$74)),#REF!,0)</f>
        <v>#REF!</v>
      </c>
      <c r="AC162" s="406" t="e">
        <f t="shared" si="8"/>
        <v>#REF!</v>
      </c>
      <c r="AD162" s="406" t="e">
        <f>IF(AND(AC162&gt;=#REF!,AC162&lt;(#REF!+#REF!*$C$81)),#REF!,0)</f>
        <v>#REF!</v>
      </c>
      <c r="AE162" s="406">
        <f t="shared" si="9"/>
        <v>9</v>
      </c>
      <c r="AF162" s="406">
        <f t="shared" si="1"/>
        <v>0</v>
      </c>
      <c r="AG162" s="406">
        <f t="shared" si="10"/>
        <v>5</v>
      </c>
      <c r="AH162" s="406">
        <f t="shared" si="2"/>
        <v>0</v>
      </c>
      <c r="AI162" s="406">
        <v>11</v>
      </c>
      <c r="AJ162" s="406">
        <f t="shared" si="3"/>
        <v>0</v>
      </c>
      <c r="AK162" s="406">
        <v>11</v>
      </c>
      <c r="AL162" s="406" t="e">
        <f>IF(AK162=#REF!,#REF!,0)</f>
        <v>#REF!</v>
      </c>
    </row>
    <row r="163" spans="7:95" ht="15" hidden="1" customHeight="1" x14ac:dyDescent="0.2">
      <c r="G163" s="543">
        <v>11</v>
      </c>
      <c r="H163" s="560" t="e">
        <f t="shared" si="11"/>
        <v>#REF!</v>
      </c>
      <c r="I163" s="841" t="e">
        <f ca="1">IF(G163&lt;=$AM$144,0,Apoio!E491)</f>
        <v>#N/A</v>
      </c>
      <c r="J163" s="871"/>
      <c r="K163" s="842"/>
      <c r="L163" s="731" t="e">
        <f t="shared" si="4"/>
        <v>#REF!</v>
      </c>
      <c r="M163" s="841" t="e">
        <f t="shared" ca="1" si="5"/>
        <v>#REF!</v>
      </c>
      <c r="N163" s="842"/>
      <c r="O163" s="843"/>
      <c r="P163" s="844"/>
      <c r="Q163" s="841">
        <f t="shared" si="6"/>
        <v>0</v>
      </c>
      <c r="R163" s="842"/>
      <c r="AA163" s="406" t="e">
        <f t="shared" si="7"/>
        <v>#REF!</v>
      </c>
      <c r="AB163" s="406" t="e">
        <f>IF(AND(AA163&gt;=#REF!,AA163&lt;(#REF!+#REF!*$C$74)),#REF!,0)</f>
        <v>#REF!</v>
      </c>
      <c r="AC163" s="406" t="e">
        <f t="shared" si="8"/>
        <v>#REF!</v>
      </c>
      <c r="AD163" s="406" t="e">
        <f>IF(AND(AC163&gt;=#REF!,AC163&lt;(#REF!+#REF!*$C$81)),#REF!,0)</f>
        <v>#REF!</v>
      </c>
      <c r="AE163" s="406">
        <f t="shared" si="9"/>
        <v>9</v>
      </c>
      <c r="AF163" s="406">
        <f t="shared" si="1"/>
        <v>0</v>
      </c>
      <c r="AG163" s="406">
        <f t="shared" si="10"/>
        <v>5</v>
      </c>
      <c r="AH163" s="406">
        <f t="shared" si="2"/>
        <v>0</v>
      </c>
      <c r="AI163" s="406">
        <v>12</v>
      </c>
      <c r="AJ163" s="406">
        <f t="shared" si="3"/>
        <v>0</v>
      </c>
      <c r="AK163" s="406">
        <v>12</v>
      </c>
      <c r="AL163" s="406" t="e">
        <f>IF(AK163=#REF!,#REF!,0)</f>
        <v>#REF!</v>
      </c>
    </row>
    <row r="164" spans="7:95" ht="15" hidden="1" customHeight="1" x14ac:dyDescent="0.2">
      <c r="G164" s="543">
        <v>12</v>
      </c>
      <c r="H164" s="560" t="e">
        <f t="shared" si="11"/>
        <v>#REF!</v>
      </c>
      <c r="I164" s="841" t="e">
        <f ca="1">IF(G164&lt;=$AM$144,0,Apoio!E492)</f>
        <v>#N/A</v>
      </c>
      <c r="J164" s="871"/>
      <c r="K164" s="842"/>
      <c r="L164" s="731" t="e">
        <f t="shared" si="4"/>
        <v>#REF!</v>
      </c>
      <c r="M164" s="841" t="e">
        <f t="shared" ca="1" si="5"/>
        <v>#REF!</v>
      </c>
      <c r="N164" s="842"/>
      <c r="O164" s="843"/>
      <c r="P164" s="844"/>
      <c r="Q164" s="841">
        <f t="shared" si="6"/>
        <v>0</v>
      </c>
      <c r="R164" s="842"/>
      <c r="AA164" s="406" t="e">
        <f t="shared" si="7"/>
        <v>#REF!</v>
      </c>
      <c r="AB164" s="406" t="e">
        <f>IF(AND(AA164&gt;=#REF!,AA164&lt;(#REF!+#REF!*$C$74)),#REF!,0)</f>
        <v>#REF!</v>
      </c>
      <c r="AC164" s="406" t="e">
        <f t="shared" si="8"/>
        <v>#REF!</v>
      </c>
      <c r="AD164" s="406" t="e">
        <f>IF(AND(AC164&gt;=#REF!,AC164&lt;(#REF!+#REF!*$C$81)),#REF!,0)</f>
        <v>#REF!</v>
      </c>
      <c r="AE164" s="406">
        <f t="shared" si="9"/>
        <v>9</v>
      </c>
      <c r="AF164" s="406">
        <f t="shared" si="1"/>
        <v>0</v>
      </c>
      <c r="AG164" s="406">
        <f t="shared" si="10"/>
        <v>5</v>
      </c>
      <c r="AH164" s="406">
        <f t="shared" si="2"/>
        <v>0</v>
      </c>
      <c r="AI164" s="406">
        <v>13</v>
      </c>
      <c r="AJ164" s="406">
        <f t="shared" si="3"/>
        <v>0</v>
      </c>
      <c r="AK164" s="406">
        <v>13</v>
      </c>
      <c r="AL164" s="406" t="e">
        <f>IF(AK164=#REF!,#REF!,0)</f>
        <v>#REF!</v>
      </c>
      <c r="CN164" s="399"/>
      <c r="CQ164" s="766"/>
    </row>
    <row r="165" spans="7:95" ht="15" hidden="1" customHeight="1" x14ac:dyDescent="0.2">
      <c r="G165" s="543">
        <v>13</v>
      </c>
      <c r="H165" s="560" t="e">
        <f t="shared" si="11"/>
        <v>#REF!</v>
      </c>
      <c r="I165" s="841" t="e">
        <f ca="1">IF(G165&lt;=$AM$144,0,Apoio!E493)</f>
        <v>#N/A</v>
      </c>
      <c r="J165" s="871"/>
      <c r="K165" s="842"/>
      <c r="L165" s="731" t="e">
        <f t="shared" si="4"/>
        <v>#REF!</v>
      </c>
      <c r="M165" s="841" t="e">
        <f t="shared" ca="1" si="5"/>
        <v>#REF!</v>
      </c>
      <c r="N165" s="842"/>
      <c r="O165" s="843"/>
      <c r="P165" s="844"/>
      <c r="Q165" s="841">
        <f t="shared" si="6"/>
        <v>0</v>
      </c>
      <c r="R165" s="842"/>
      <c r="AA165" s="406" t="e">
        <f t="shared" si="7"/>
        <v>#REF!</v>
      </c>
      <c r="AB165" s="406" t="e">
        <f>IF(AND(AA165&gt;=#REF!,AA165&lt;(#REF!+#REF!*$C$74)),#REF!,0)</f>
        <v>#REF!</v>
      </c>
      <c r="AC165" s="406" t="e">
        <f t="shared" si="8"/>
        <v>#REF!</v>
      </c>
      <c r="AD165" s="406" t="e">
        <f>IF(AND(AC165&gt;=#REF!,AC165&lt;(#REF!+#REF!*$C$81)),#REF!,0)</f>
        <v>#REF!</v>
      </c>
      <c r="AE165" s="406">
        <f t="shared" si="9"/>
        <v>9</v>
      </c>
      <c r="AF165" s="406">
        <f t="shared" si="1"/>
        <v>0</v>
      </c>
      <c r="AG165" s="406">
        <f t="shared" si="10"/>
        <v>5</v>
      </c>
      <c r="AH165" s="406">
        <f t="shared" si="2"/>
        <v>0</v>
      </c>
      <c r="AI165" s="406">
        <v>14</v>
      </c>
      <c r="AJ165" s="406">
        <f t="shared" si="3"/>
        <v>0</v>
      </c>
      <c r="AK165" s="406">
        <v>14</v>
      </c>
      <c r="AL165" s="406" t="e">
        <f>IF(AK165=#REF!,#REF!,0)</f>
        <v>#REF!</v>
      </c>
      <c r="CN165" s="399"/>
      <c r="CQ165" s="766"/>
    </row>
    <row r="166" spans="7:95" ht="15" hidden="1" customHeight="1" x14ac:dyDescent="0.2">
      <c r="G166" s="543">
        <v>14</v>
      </c>
      <c r="H166" s="560" t="e">
        <f t="shared" si="11"/>
        <v>#REF!</v>
      </c>
      <c r="I166" s="841" t="e">
        <f ca="1">IF(G166&lt;=$AM$144,0,Apoio!E494)</f>
        <v>#N/A</v>
      </c>
      <c r="J166" s="871"/>
      <c r="K166" s="842"/>
      <c r="L166" s="731" t="e">
        <f t="shared" si="4"/>
        <v>#REF!</v>
      </c>
      <c r="M166" s="841" t="e">
        <f t="shared" ca="1" si="5"/>
        <v>#REF!</v>
      </c>
      <c r="N166" s="842"/>
      <c r="O166" s="843"/>
      <c r="P166" s="844"/>
      <c r="Q166" s="841">
        <f t="shared" si="6"/>
        <v>0</v>
      </c>
      <c r="R166" s="842"/>
      <c r="AA166" s="406" t="e">
        <f t="shared" si="7"/>
        <v>#REF!</v>
      </c>
      <c r="AB166" s="406" t="e">
        <f>IF(AND(AA166&gt;=#REF!,AA166&lt;(#REF!+#REF!*$C$74)),#REF!,0)</f>
        <v>#REF!</v>
      </c>
      <c r="AC166" s="406" t="e">
        <f t="shared" si="8"/>
        <v>#REF!</v>
      </c>
      <c r="AD166" s="406" t="e">
        <f>IF(AND(AC166&gt;=#REF!,AC166&lt;(#REF!+#REF!*$C$81)),#REF!,0)</f>
        <v>#REF!</v>
      </c>
      <c r="AE166" s="406">
        <f t="shared" si="9"/>
        <v>9</v>
      </c>
      <c r="AF166" s="406">
        <f t="shared" si="1"/>
        <v>0</v>
      </c>
      <c r="AG166" s="406">
        <f t="shared" si="10"/>
        <v>5</v>
      </c>
      <c r="AH166" s="406">
        <f t="shared" si="2"/>
        <v>0</v>
      </c>
      <c r="AI166" s="406">
        <v>15</v>
      </c>
      <c r="AJ166" s="406">
        <f t="shared" si="3"/>
        <v>0</v>
      </c>
      <c r="AK166" s="406">
        <v>15</v>
      </c>
      <c r="AL166" s="406" t="e">
        <f>IF(AK166=#REF!,#REF!,0)</f>
        <v>#REF!</v>
      </c>
      <c r="CN166" s="399"/>
      <c r="CQ166" s="766"/>
    </row>
    <row r="167" spans="7:95" ht="15" hidden="1" customHeight="1" x14ac:dyDescent="0.2">
      <c r="G167" s="543">
        <v>15</v>
      </c>
      <c r="H167" s="560" t="e">
        <f t="shared" si="11"/>
        <v>#REF!</v>
      </c>
      <c r="I167" s="841" t="e">
        <f ca="1">IF(G167&lt;=$AM$144,0,Apoio!E495)</f>
        <v>#N/A</v>
      </c>
      <c r="J167" s="871"/>
      <c r="K167" s="842"/>
      <c r="L167" s="731" t="e">
        <f t="shared" si="4"/>
        <v>#REF!</v>
      </c>
      <c r="M167" s="841" t="e">
        <f t="shared" ca="1" si="5"/>
        <v>#REF!</v>
      </c>
      <c r="N167" s="842"/>
      <c r="O167" s="843"/>
      <c r="P167" s="844"/>
      <c r="Q167" s="841">
        <f t="shared" si="6"/>
        <v>0</v>
      </c>
      <c r="R167" s="842"/>
      <c r="AA167" s="406" t="e">
        <f t="shared" si="7"/>
        <v>#REF!</v>
      </c>
      <c r="AB167" s="406" t="e">
        <f>IF(AND(AA167&gt;=#REF!,AA167&lt;(#REF!+#REF!*$C$74)),#REF!,0)</f>
        <v>#REF!</v>
      </c>
      <c r="AC167" s="406" t="e">
        <f t="shared" si="8"/>
        <v>#REF!</v>
      </c>
      <c r="AD167" s="406" t="e">
        <f>IF(AND(AC167&gt;=#REF!,AC167&lt;(#REF!+#REF!*$C$81)),#REF!,0)</f>
        <v>#REF!</v>
      </c>
      <c r="AE167" s="406">
        <f t="shared" si="9"/>
        <v>9</v>
      </c>
      <c r="AF167" s="406">
        <f t="shared" si="1"/>
        <v>0</v>
      </c>
      <c r="AG167" s="406">
        <f t="shared" si="10"/>
        <v>5</v>
      </c>
      <c r="AH167" s="406">
        <f t="shared" si="2"/>
        <v>0</v>
      </c>
      <c r="AI167" s="406">
        <v>16</v>
      </c>
      <c r="AJ167" s="406">
        <f t="shared" si="3"/>
        <v>0</v>
      </c>
      <c r="AK167" s="406">
        <v>16</v>
      </c>
      <c r="AL167" s="406" t="e">
        <f>IF(AK167=#REF!,#REF!,0)</f>
        <v>#REF!</v>
      </c>
      <c r="CN167" s="399"/>
      <c r="CQ167" s="766"/>
    </row>
    <row r="168" spans="7:95" ht="15" hidden="1" customHeight="1" x14ac:dyDescent="0.2">
      <c r="G168" s="543">
        <v>16</v>
      </c>
      <c r="H168" s="560" t="e">
        <f t="shared" si="11"/>
        <v>#REF!</v>
      </c>
      <c r="I168" s="841" t="e">
        <f ca="1">IF(G168&lt;=$AM$144,0,Apoio!E496)</f>
        <v>#N/A</v>
      </c>
      <c r="J168" s="871"/>
      <c r="K168" s="842"/>
      <c r="L168" s="731" t="e">
        <f t="shared" si="4"/>
        <v>#REF!</v>
      </c>
      <c r="M168" s="841" t="e">
        <f t="shared" ca="1" si="5"/>
        <v>#REF!</v>
      </c>
      <c r="N168" s="842"/>
      <c r="O168" s="843"/>
      <c r="P168" s="844"/>
      <c r="Q168" s="841">
        <f t="shared" si="6"/>
        <v>0</v>
      </c>
      <c r="R168" s="842"/>
      <c r="AA168" s="406" t="e">
        <f t="shared" si="7"/>
        <v>#REF!</v>
      </c>
      <c r="AB168" s="406" t="e">
        <f>IF(AND(AA168&gt;=#REF!,AA168&lt;(#REF!+#REF!*$C$74)),#REF!,0)</f>
        <v>#REF!</v>
      </c>
      <c r="AC168" s="406" t="e">
        <f t="shared" si="8"/>
        <v>#REF!</v>
      </c>
      <c r="AD168" s="406" t="e">
        <f>IF(AND(AC168&gt;=#REF!,AC168&lt;(#REF!+#REF!*$C$81)),#REF!,0)</f>
        <v>#REF!</v>
      </c>
      <c r="AE168" s="406">
        <f t="shared" si="9"/>
        <v>9</v>
      </c>
      <c r="AF168" s="406">
        <f t="shared" si="1"/>
        <v>0</v>
      </c>
      <c r="AG168" s="406">
        <f t="shared" si="10"/>
        <v>5</v>
      </c>
      <c r="AH168" s="406">
        <f t="shared" si="2"/>
        <v>0</v>
      </c>
      <c r="AI168" s="406">
        <v>17</v>
      </c>
      <c r="AJ168" s="406">
        <f t="shared" si="3"/>
        <v>0</v>
      </c>
      <c r="AK168" s="406">
        <v>17</v>
      </c>
      <c r="AL168" s="406" t="e">
        <f>IF(AK168=#REF!,#REF!,0)</f>
        <v>#REF!</v>
      </c>
      <c r="CN168" s="399"/>
      <c r="CQ168" s="766"/>
    </row>
    <row r="169" spans="7:95" ht="15" hidden="1" customHeight="1" x14ac:dyDescent="0.2">
      <c r="G169" s="543">
        <v>17</v>
      </c>
      <c r="H169" s="560" t="e">
        <f t="shared" si="11"/>
        <v>#REF!</v>
      </c>
      <c r="I169" s="841" t="e">
        <f ca="1">IF(G169&lt;=$AM$144,0,Apoio!E497)</f>
        <v>#N/A</v>
      </c>
      <c r="J169" s="871"/>
      <c r="K169" s="842"/>
      <c r="L169" s="731" t="e">
        <f t="shared" si="4"/>
        <v>#REF!</v>
      </c>
      <c r="M169" s="841" t="e">
        <f t="shared" ca="1" si="5"/>
        <v>#REF!</v>
      </c>
      <c r="N169" s="842"/>
      <c r="O169" s="843"/>
      <c r="P169" s="844"/>
      <c r="Q169" s="841">
        <f t="shared" si="6"/>
        <v>0</v>
      </c>
      <c r="R169" s="842"/>
      <c r="AA169" s="406" t="e">
        <f t="shared" si="7"/>
        <v>#REF!</v>
      </c>
      <c r="AB169" s="406" t="e">
        <f>IF(AND(AA169&gt;=#REF!,AA169&lt;(#REF!+#REF!*$C$74)),#REF!,0)</f>
        <v>#REF!</v>
      </c>
      <c r="AC169" s="406" t="e">
        <f t="shared" si="8"/>
        <v>#REF!</v>
      </c>
      <c r="AD169" s="406" t="e">
        <f>IF(AND(AC169&gt;=#REF!,AC169&lt;(#REF!+#REF!*$C$81)),#REF!,0)</f>
        <v>#REF!</v>
      </c>
      <c r="AE169" s="406">
        <f t="shared" si="9"/>
        <v>9</v>
      </c>
      <c r="AF169" s="406">
        <f t="shared" si="1"/>
        <v>0</v>
      </c>
      <c r="AG169" s="406">
        <f t="shared" si="10"/>
        <v>5</v>
      </c>
      <c r="AH169" s="406">
        <f t="shared" si="2"/>
        <v>0</v>
      </c>
      <c r="AI169" s="406">
        <v>18</v>
      </c>
      <c r="AJ169" s="406">
        <f t="shared" si="3"/>
        <v>0</v>
      </c>
      <c r="AK169" s="406">
        <v>18</v>
      </c>
      <c r="AL169" s="406" t="e">
        <f>IF(AK169=#REF!,#REF!,0)</f>
        <v>#REF!</v>
      </c>
      <c r="CN169" s="399"/>
      <c r="CQ169" s="766"/>
    </row>
    <row r="170" spans="7:95" ht="15" hidden="1" customHeight="1" x14ac:dyDescent="0.2">
      <c r="G170" s="543">
        <v>18</v>
      </c>
      <c r="H170" s="560" t="e">
        <f t="shared" si="11"/>
        <v>#REF!</v>
      </c>
      <c r="I170" s="841" t="e">
        <f ca="1">IF(G170&lt;=$AM$144,0,Apoio!E498)</f>
        <v>#N/A</v>
      </c>
      <c r="J170" s="871"/>
      <c r="K170" s="842"/>
      <c r="L170" s="731" t="e">
        <f t="shared" si="4"/>
        <v>#REF!</v>
      </c>
      <c r="M170" s="841" t="e">
        <f t="shared" ca="1" si="5"/>
        <v>#REF!</v>
      </c>
      <c r="N170" s="842"/>
      <c r="O170" s="843"/>
      <c r="P170" s="844"/>
      <c r="Q170" s="841">
        <f t="shared" si="6"/>
        <v>0</v>
      </c>
      <c r="R170" s="842"/>
      <c r="AA170" s="406" t="e">
        <f t="shared" si="7"/>
        <v>#REF!</v>
      </c>
      <c r="AB170" s="406" t="e">
        <f>IF(AND(AA170&gt;=#REF!,AA170&lt;(#REF!+#REF!*$C$74)),#REF!,0)</f>
        <v>#REF!</v>
      </c>
      <c r="AC170" s="406" t="e">
        <f t="shared" si="8"/>
        <v>#REF!</v>
      </c>
      <c r="AD170" s="406" t="e">
        <f>IF(AND(AC170&gt;=#REF!,AC170&lt;(#REF!+#REF!*$C$81)),#REF!,0)</f>
        <v>#REF!</v>
      </c>
      <c r="AE170" s="406">
        <f t="shared" si="9"/>
        <v>9</v>
      </c>
      <c r="AF170" s="406">
        <f t="shared" si="1"/>
        <v>0</v>
      </c>
      <c r="AG170" s="406">
        <f t="shared" si="10"/>
        <v>5</v>
      </c>
      <c r="AH170" s="406">
        <f t="shared" si="2"/>
        <v>0</v>
      </c>
      <c r="AI170" s="406">
        <v>19</v>
      </c>
      <c r="AJ170" s="406">
        <f t="shared" si="3"/>
        <v>0</v>
      </c>
      <c r="AK170" s="406">
        <v>19</v>
      </c>
      <c r="AL170" s="406" t="e">
        <f>IF(AK170=#REF!,#REF!,0)</f>
        <v>#REF!</v>
      </c>
      <c r="CN170" s="399"/>
      <c r="CQ170" s="766"/>
    </row>
    <row r="171" spans="7:95" ht="15" hidden="1" customHeight="1" x14ac:dyDescent="0.2">
      <c r="G171" s="543">
        <v>19</v>
      </c>
      <c r="H171" s="560" t="e">
        <f t="shared" si="11"/>
        <v>#REF!</v>
      </c>
      <c r="I171" s="841" t="e">
        <f ca="1">IF(G171&lt;=$AM$144,0,Apoio!E499)</f>
        <v>#N/A</v>
      </c>
      <c r="J171" s="871"/>
      <c r="K171" s="842"/>
      <c r="L171" s="731" t="e">
        <f t="shared" si="4"/>
        <v>#REF!</v>
      </c>
      <c r="M171" s="841" t="e">
        <f t="shared" ca="1" si="5"/>
        <v>#REF!</v>
      </c>
      <c r="N171" s="842"/>
      <c r="O171" s="843"/>
      <c r="P171" s="844"/>
      <c r="Q171" s="841">
        <f t="shared" si="6"/>
        <v>0</v>
      </c>
      <c r="R171" s="842"/>
      <c r="AA171" s="406" t="e">
        <f t="shared" si="7"/>
        <v>#REF!</v>
      </c>
      <c r="AB171" s="406" t="e">
        <f>IF(AND(AA171&gt;=#REF!,AA171&lt;(#REF!+#REF!*$C$74)),#REF!,0)</f>
        <v>#REF!</v>
      </c>
      <c r="AC171" s="406" t="e">
        <f t="shared" si="8"/>
        <v>#REF!</v>
      </c>
      <c r="AD171" s="406" t="e">
        <f>IF(AND(AC171&gt;=#REF!,AC171&lt;(#REF!+#REF!*$C$81)),#REF!,0)</f>
        <v>#REF!</v>
      </c>
      <c r="AE171" s="406">
        <f t="shared" si="9"/>
        <v>9</v>
      </c>
      <c r="AF171" s="406">
        <f t="shared" si="1"/>
        <v>0</v>
      </c>
      <c r="AG171" s="406">
        <f t="shared" si="10"/>
        <v>5</v>
      </c>
      <c r="AH171" s="406">
        <f t="shared" si="2"/>
        <v>0</v>
      </c>
      <c r="AI171" s="406">
        <v>20</v>
      </c>
      <c r="AJ171" s="406">
        <f t="shared" si="3"/>
        <v>0</v>
      </c>
      <c r="AK171" s="406">
        <v>20</v>
      </c>
      <c r="AL171" s="406" t="e">
        <f>IF(AK171=#REF!,#REF!,0)</f>
        <v>#REF!</v>
      </c>
      <c r="CN171" s="399"/>
      <c r="CQ171" s="766"/>
    </row>
    <row r="172" spans="7:95" ht="15" hidden="1" customHeight="1" x14ac:dyDescent="0.2">
      <c r="G172" s="543">
        <v>20</v>
      </c>
      <c r="H172" s="560" t="e">
        <f t="shared" si="11"/>
        <v>#REF!</v>
      </c>
      <c r="I172" s="841" t="e">
        <f ca="1">IF(G172&lt;=$AM$144,0,Apoio!E500)</f>
        <v>#N/A</v>
      </c>
      <c r="J172" s="871"/>
      <c r="K172" s="842"/>
      <c r="L172" s="731" t="e">
        <f t="shared" si="4"/>
        <v>#REF!</v>
      </c>
      <c r="M172" s="841" t="e">
        <f t="shared" ca="1" si="5"/>
        <v>#REF!</v>
      </c>
      <c r="N172" s="842"/>
      <c r="O172" s="843"/>
      <c r="P172" s="844"/>
      <c r="Q172" s="841">
        <f t="shared" si="6"/>
        <v>0</v>
      </c>
      <c r="R172" s="842"/>
      <c r="AA172" s="406" t="e">
        <f t="shared" si="7"/>
        <v>#REF!</v>
      </c>
      <c r="AB172" s="406" t="e">
        <f>IF(AND(AA172&gt;=#REF!,AA172&lt;(#REF!+#REF!*$C$74)),#REF!,0)</f>
        <v>#REF!</v>
      </c>
      <c r="AC172" s="406" t="e">
        <f t="shared" si="8"/>
        <v>#REF!</v>
      </c>
      <c r="AD172" s="406" t="e">
        <f>IF(AND(AC172&gt;=#REF!,AC172&lt;(#REF!+#REF!*$C$81)),#REF!,0)</f>
        <v>#REF!</v>
      </c>
      <c r="AE172" s="406">
        <f t="shared" si="9"/>
        <v>9</v>
      </c>
      <c r="AF172" s="406">
        <f t="shared" si="1"/>
        <v>0</v>
      </c>
      <c r="AG172" s="406">
        <f t="shared" si="10"/>
        <v>5</v>
      </c>
      <c r="AH172" s="406">
        <f t="shared" si="2"/>
        <v>0</v>
      </c>
      <c r="AI172" s="406">
        <v>21</v>
      </c>
      <c r="AJ172" s="406">
        <f t="shared" si="3"/>
        <v>0</v>
      </c>
      <c r="AK172" s="406">
        <v>21</v>
      </c>
      <c r="AL172" s="406" t="e">
        <f>IF(AK172=#REF!,#REF!,0)</f>
        <v>#REF!</v>
      </c>
      <c r="CN172" s="399"/>
      <c r="CQ172" s="766"/>
    </row>
    <row r="173" spans="7:95" ht="15" hidden="1" customHeight="1" x14ac:dyDescent="0.2">
      <c r="G173" s="543">
        <v>21</v>
      </c>
      <c r="H173" s="560" t="e">
        <f t="shared" si="11"/>
        <v>#REF!</v>
      </c>
      <c r="I173" s="841" t="e">
        <f ca="1">IF(G173&lt;=$AM$144,0,Apoio!E501)</f>
        <v>#N/A</v>
      </c>
      <c r="J173" s="871"/>
      <c r="K173" s="842"/>
      <c r="L173" s="731" t="e">
        <f t="shared" si="4"/>
        <v>#REF!</v>
      </c>
      <c r="M173" s="841" t="e">
        <f t="shared" ca="1" si="5"/>
        <v>#REF!</v>
      </c>
      <c r="N173" s="842"/>
      <c r="O173" s="843"/>
      <c r="P173" s="844"/>
      <c r="Q173" s="841">
        <f t="shared" si="6"/>
        <v>0</v>
      </c>
      <c r="R173" s="842"/>
      <c r="AA173" s="406" t="e">
        <f t="shared" si="7"/>
        <v>#REF!</v>
      </c>
      <c r="AB173" s="406" t="e">
        <f>IF(AND(AA173&gt;=#REF!,AA173&lt;(#REF!+#REF!*$C$74)),#REF!,0)</f>
        <v>#REF!</v>
      </c>
      <c r="AC173" s="406" t="e">
        <f t="shared" si="8"/>
        <v>#REF!</v>
      </c>
      <c r="AD173" s="406" t="e">
        <f>IF(AND(AC173&gt;=#REF!,AC173&lt;(#REF!+#REF!*$C$81)),#REF!,0)</f>
        <v>#REF!</v>
      </c>
      <c r="AE173" s="406">
        <f t="shared" si="9"/>
        <v>9</v>
      </c>
      <c r="AF173" s="406">
        <f t="shared" si="1"/>
        <v>0</v>
      </c>
      <c r="AG173" s="406">
        <f t="shared" si="10"/>
        <v>5</v>
      </c>
      <c r="AH173" s="406">
        <f t="shared" si="2"/>
        <v>0</v>
      </c>
      <c r="AI173" s="406">
        <v>22</v>
      </c>
      <c r="AJ173" s="406">
        <f t="shared" si="3"/>
        <v>0</v>
      </c>
      <c r="AK173" s="406">
        <v>22</v>
      </c>
      <c r="AL173" s="406" t="e">
        <f>IF(AK173=#REF!,#REF!,0)</f>
        <v>#REF!</v>
      </c>
      <c r="CN173" s="399"/>
      <c r="CQ173" s="766"/>
    </row>
    <row r="174" spans="7:95" ht="15" hidden="1" customHeight="1" x14ac:dyDescent="0.2">
      <c r="G174" s="543">
        <v>22</v>
      </c>
      <c r="H174" s="560" t="e">
        <f t="shared" si="11"/>
        <v>#REF!</v>
      </c>
      <c r="I174" s="841" t="e">
        <f ca="1">IF(G174&lt;=$AM$144,0,Apoio!E502)</f>
        <v>#N/A</v>
      </c>
      <c r="J174" s="871"/>
      <c r="K174" s="842"/>
      <c r="L174" s="731" t="e">
        <f t="shared" si="4"/>
        <v>#REF!</v>
      </c>
      <c r="M174" s="841" t="e">
        <f t="shared" ca="1" si="5"/>
        <v>#REF!</v>
      </c>
      <c r="N174" s="842"/>
      <c r="O174" s="843"/>
      <c r="P174" s="844"/>
      <c r="Q174" s="841">
        <f t="shared" si="6"/>
        <v>0</v>
      </c>
      <c r="R174" s="842"/>
      <c r="AA174" s="406" t="e">
        <f t="shared" si="7"/>
        <v>#REF!</v>
      </c>
      <c r="AB174" s="406" t="e">
        <f>IF(AND(AA174&gt;=#REF!,AA174&lt;(#REF!+#REF!*$C$74)),#REF!,0)</f>
        <v>#REF!</v>
      </c>
      <c r="AC174" s="406" t="e">
        <f t="shared" si="8"/>
        <v>#REF!</v>
      </c>
      <c r="AD174" s="406" t="e">
        <f>IF(AND(AC174&gt;=#REF!,AC174&lt;(#REF!+#REF!*$C$81)),#REF!,0)</f>
        <v>#REF!</v>
      </c>
      <c r="AE174" s="406">
        <f t="shared" si="9"/>
        <v>9</v>
      </c>
      <c r="AF174" s="406">
        <f t="shared" si="1"/>
        <v>0</v>
      </c>
      <c r="AG174" s="406">
        <f t="shared" si="10"/>
        <v>5</v>
      </c>
      <c r="AH174" s="406">
        <f t="shared" si="2"/>
        <v>0</v>
      </c>
      <c r="AI174" s="406">
        <v>23</v>
      </c>
      <c r="AJ174" s="406">
        <f t="shared" si="3"/>
        <v>0</v>
      </c>
      <c r="AK174" s="406">
        <v>23</v>
      </c>
      <c r="AL174" s="406" t="e">
        <f>IF(AK174=#REF!,#REF!,0)</f>
        <v>#REF!</v>
      </c>
      <c r="CN174" s="399"/>
      <c r="CQ174" s="766"/>
    </row>
    <row r="175" spans="7:95" ht="15" hidden="1" customHeight="1" x14ac:dyDescent="0.2">
      <c r="G175" s="543">
        <v>23</v>
      </c>
      <c r="H175" s="560" t="e">
        <f t="shared" si="11"/>
        <v>#REF!</v>
      </c>
      <c r="I175" s="841" t="e">
        <f ca="1">IF(G175&lt;=$AM$144,0,Apoio!E503)</f>
        <v>#N/A</v>
      </c>
      <c r="J175" s="871"/>
      <c r="K175" s="842"/>
      <c r="L175" s="731" t="e">
        <f t="shared" si="4"/>
        <v>#REF!</v>
      </c>
      <c r="M175" s="841" t="e">
        <f t="shared" ca="1" si="5"/>
        <v>#REF!</v>
      </c>
      <c r="N175" s="842"/>
      <c r="O175" s="843"/>
      <c r="P175" s="844"/>
      <c r="Q175" s="841">
        <f t="shared" si="6"/>
        <v>0</v>
      </c>
      <c r="R175" s="842"/>
      <c r="AA175" s="406" t="e">
        <f t="shared" si="7"/>
        <v>#REF!</v>
      </c>
      <c r="AB175" s="406" t="e">
        <f>IF(AND(AA175&gt;=#REF!,AA175&lt;(#REF!+#REF!*$C$74)),#REF!,0)</f>
        <v>#REF!</v>
      </c>
      <c r="AC175" s="406" t="e">
        <f t="shared" si="8"/>
        <v>#REF!</v>
      </c>
      <c r="AD175" s="406" t="e">
        <f>IF(AND(AC175&gt;=#REF!,AC175&lt;(#REF!+#REF!*$C$81)),#REF!,0)</f>
        <v>#REF!</v>
      </c>
      <c r="AE175" s="406">
        <f t="shared" si="9"/>
        <v>9</v>
      </c>
      <c r="AF175" s="406">
        <f t="shared" si="1"/>
        <v>0</v>
      </c>
      <c r="AG175" s="406">
        <f t="shared" si="10"/>
        <v>5</v>
      </c>
      <c r="AH175" s="406">
        <f t="shared" si="2"/>
        <v>0</v>
      </c>
      <c r="AI175" s="406">
        <v>24</v>
      </c>
      <c r="AJ175" s="406">
        <f t="shared" si="3"/>
        <v>0</v>
      </c>
      <c r="AK175" s="406">
        <v>24</v>
      </c>
      <c r="AL175" s="406" t="e">
        <f>IF(AK175=#REF!,#REF!,0)</f>
        <v>#REF!</v>
      </c>
      <c r="CN175" s="399"/>
      <c r="CQ175" s="766"/>
    </row>
    <row r="176" spans="7:95" ht="15" hidden="1" customHeight="1" x14ac:dyDescent="0.2">
      <c r="G176" s="543">
        <v>24</v>
      </c>
      <c r="H176" s="560" t="e">
        <f t="shared" si="11"/>
        <v>#REF!</v>
      </c>
      <c r="I176" s="841" t="e">
        <f ca="1">IF(G176&lt;=$AM$144,0,Apoio!E504)</f>
        <v>#N/A</v>
      </c>
      <c r="J176" s="871"/>
      <c r="K176" s="842"/>
      <c r="L176" s="731" t="e">
        <f t="shared" si="4"/>
        <v>#REF!</v>
      </c>
      <c r="M176" s="841" t="e">
        <f t="shared" ca="1" si="5"/>
        <v>#REF!</v>
      </c>
      <c r="N176" s="842"/>
      <c r="O176" s="843"/>
      <c r="P176" s="844"/>
      <c r="Q176" s="841">
        <f t="shared" si="6"/>
        <v>0</v>
      </c>
      <c r="R176" s="842"/>
      <c r="AA176" s="406" t="e">
        <f t="shared" si="7"/>
        <v>#REF!</v>
      </c>
      <c r="AB176" s="406" t="e">
        <f>IF(AND(AA176&gt;=#REF!,AA176&lt;(#REF!+#REF!*$C$74)),#REF!,0)</f>
        <v>#REF!</v>
      </c>
      <c r="AC176" s="406" t="e">
        <f t="shared" si="8"/>
        <v>#REF!</v>
      </c>
      <c r="AD176" s="406" t="e">
        <f>IF(AND(AC176&gt;=#REF!,AC176&lt;(#REF!+#REF!*$C$81)),#REF!,0)</f>
        <v>#REF!</v>
      </c>
      <c r="AE176" s="406">
        <f t="shared" si="9"/>
        <v>9</v>
      </c>
      <c r="AF176" s="406">
        <f t="shared" si="1"/>
        <v>0</v>
      </c>
      <c r="AG176" s="406">
        <f t="shared" si="10"/>
        <v>5</v>
      </c>
      <c r="AH176" s="406">
        <f t="shared" si="2"/>
        <v>0</v>
      </c>
      <c r="AI176" s="406">
        <v>25</v>
      </c>
      <c r="AJ176" s="406">
        <f t="shared" si="3"/>
        <v>0</v>
      </c>
      <c r="AK176" s="406">
        <v>25</v>
      </c>
      <c r="AL176" s="406" t="e">
        <f>IF(AK176=#REF!,#REF!,0)</f>
        <v>#REF!</v>
      </c>
      <c r="CN176" s="399"/>
      <c r="CQ176" s="766"/>
    </row>
    <row r="177" spans="7:95" ht="15" hidden="1" customHeight="1" x14ac:dyDescent="0.2">
      <c r="G177" s="543">
        <v>25</v>
      </c>
      <c r="H177" s="560" t="e">
        <f t="shared" si="11"/>
        <v>#REF!</v>
      </c>
      <c r="I177" s="841" t="e">
        <f ca="1">IF(G177&lt;=$AM$144,0,Apoio!E505)</f>
        <v>#N/A</v>
      </c>
      <c r="J177" s="871"/>
      <c r="K177" s="842"/>
      <c r="L177" s="731" t="e">
        <f t="shared" si="4"/>
        <v>#REF!</v>
      </c>
      <c r="M177" s="841" t="e">
        <f t="shared" ca="1" si="5"/>
        <v>#REF!</v>
      </c>
      <c r="N177" s="842"/>
      <c r="O177" s="843"/>
      <c r="P177" s="844"/>
      <c r="Q177" s="841">
        <f t="shared" si="6"/>
        <v>0</v>
      </c>
      <c r="R177" s="842"/>
      <c r="AA177" s="406" t="e">
        <f t="shared" si="7"/>
        <v>#REF!</v>
      </c>
      <c r="AB177" s="406" t="e">
        <f>IF(AND(AA177&gt;=#REF!,AA177&lt;(#REF!+#REF!*$C$74)),#REF!,0)</f>
        <v>#REF!</v>
      </c>
      <c r="AC177" s="406" t="e">
        <f t="shared" si="8"/>
        <v>#REF!</v>
      </c>
      <c r="AD177" s="406" t="e">
        <f>IF(AND(AC177&gt;=#REF!,AC177&lt;(#REF!+#REF!*$C$81)),#REF!,0)</f>
        <v>#REF!</v>
      </c>
      <c r="AE177" s="406">
        <f t="shared" si="9"/>
        <v>9</v>
      </c>
      <c r="AF177" s="406">
        <f t="shared" si="1"/>
        <v>0</v>
      </c>
      <c r="AG177" s="406">
        <f t="shared" si="10"/>
        <v>5</v>
      </c>
      <c r="AH177" s="406">
        <f t="shared" si="2"/>
        <v>0</v>
      </c>
      <c r="AI177" s="406">
        <v>26</v>
      </c>
      <c r="AJ177" s="406">
        <f t="shared" si="3"/>
        <v>0</v>
      </c>
      <c r="AK177" s="406">
        <v>26</v>
      </c>
      <c r="AL177" s="406" t="e">
        <f>IF(AK177=#REF!,#REF!,0)</f>
        <v>#REF!</v>
      </c>
      <c r="CN177" s="399"/>
      <c r="CQ177" s="766"/>
    </row>
    <row r="178" spans="7:95" ht="15" hidden="1" customHeight="1" x14ac:dyDescent="0.2">
      <c r="G178" s="543">
        <v>26</v>
      </c>
      <c r="H178" s="560" t="e">
        <f t="shared" si="11"/>
        <v>#REF!</v>
      </c>
      <c r="I178" s="841" t="e">
        <f ca="1">IF(G178&lt;=$AM$144,0,Apoio!E506)</f>
        <v>#N/A</v>
      </c>
      <c r="J178" s="871"/>
      <c r="K178" s="842"/>
      <c r="L178" s="731" t="e">
        <f t="shared" si="4"/>
        <v>#REF!</v>
      </c>
      <c r="M178" s="841" t="e">
        <f t="shared" ca="1" si="5"/>
        <v>#REF!</v>
      </c>
      <c r="N178" s="842"/>
      <c r="O178" s="843"/>
      <c r="P178" s="844"/>
      <c r="Q178" s="841">
        <f t="shared" si="6"/>
        <v>0</v>
      </c>
      <c r="R178" s="842"/>
      <c r="AA178" s="406" t="e">
        <f t="shared" si="7"/>
        <v>#REF!</v>
      </c>
      <c r="AB178" s="406" t="e">
        <f>IF(AND(AA178&gt;=#REF!,AA178&lt;(#REF!+#REF!*$C$74)),#REF!,0)</f>
        <v>#REF!</v>
      </c>
      <c r="AC178" s="406" t="e">
        <f t="shared" si="8"/>
        <v>#REF!</v>
      </c>
      <c r="AD178" s="406" t="e">
        <f>IF(AND(AC178&gt;=#REF!,AC178&lt;(#REF!+#REF!*$C$81)),#REF!,0)</f>
        <v>#REF!</v>
      </c>
      <c r="AE178" s="406">
        <f t="shared" si="9"/>
        <v>9</v>
      </c>
      <c r="AF178" s="406">
        <f t="shared" si="1"/>
        <v>0</v>
      </c>
      <c r="AG178" s="406">
        <f t="shared" si="10"/>
        <v>5</v>
      </c>
      <c r="AH178" s="406">
        <f t="shared" si="2"/>
        <v>0</v>
      </c>
      <c r="AI178" s="406">
        <v>27</v>
      </c>
      <c r="AJ178" s="406">
        <f t="shared" si="3"/>
        <v>0</v>
      </c>
      <c r="AK178" s="406">
        <v>27</v>
      </c>
      <c r="AL178" s="406" t="e">
        <f>IF(AK178=#REF!,#REF!,0)</f>
        <v>#REF!</v>
      </c>
      <c r="CN178" s="399"/>
      <c r="CQ178" s="766"/>
    </row>
    <row r="179" spans="7:95" ht="15" hidden="1" customHeight="1" x14ac:dyDescent="0.2">
      <c r="G179" s="543">
        <v>27</v>
      </c>
      <c r="H179" s="560" t="e">
        <f t="shared" si="11"/>
        <v>#REF!</v>
      </c>
      <c r="I179" s="841" t="e">
        <f ca="1">IF(G179&lt;=$AM$144,0,Apoio!E507)</f>
        <v>#N/A</v>
      </c>
      <c r="J179" s="871"/>
      <c r="K179" s="842"/>
      <c r="L179" s="731" t="e">
        <f t="shared" si="4"/>
        <v>#REF!</v>
      </c>
      <c r="M179" s="841" t="e">
        <f t="shared" ca="1" si="5"/>
        <v>#REF!</v>
      </c>
      <c r="N179" s="842"/>
      <c r="O179" s="843"/>
      <c r="P179" s="844"/>
      <c r="Q179" s="841">
        <f t="shared" si="6"/>
        <v>0</v>
      </c>
      <c r="R179" s="842"/>
      <c r="AA179" s="406" t="e">
        <f t="shared" si="7"/>
        <v>#REF!</v>
      </c>
      <c r="AB179" s="406" t="e">
        <f>IF(AND(AA179&gt;=#REF!,AA179&lt;(#REF!+#REF!*$C$74)),#REF!,0)</f>
        <v>#REF!</v>
      </c>
      <c r="AC179" s="406" t="e">
        <f t="shared" si="8"/>
        <v>#REF!</v>
      </c>
      <c r="AD179" s="406" t="e">
        <f>IF(AND(AC179&gt;=#REF!,AC179&lt;(#REF!+#REF!*$C$81)),#REF!,0)</f>
        <v>#REF!</v>
      </c>
      <c r="AE179" s="406">
        <f t="shared" si="9"/>
        <v>9</v>
      </c>
      <c r="AF179" s="406">
        <f t="shared" si="1"/>
        <v>0</v>
      </c>
      <c r="AG179" s="406">
        <f t="shared" si="10"/>
        <v>5</v>
      </c>
      <c r="AH179" s="406">
        <f t="shared" si="2"/>
        <v>0</v>
      </c>
      <c r="AI179" s="406">
        <v>28</v>
      </c>
      <c r="AJ179" s="406">
        <f t="shared" si="3"/>
        <v>0</v>
      </c>
      <c r="AK179" s="406">
        <v>28</v>
      </c>
      <c r="AL179" s="406" t="e">
        <f>IF(AK179=#REF!,#REF!,0)</f>
        <v>#REF!</v>
      </c>
      <c r="CN179" s="399"/>
      <c r="CQ179" s="766"/>
    </row>
    <row r="180" spans="7:95" ht="15" hidden="1" customHeight="1" x14ac:dyDescent="0.2">
      <c r="G180" s="543">
        <v>28</v>
      </c>
      <c r="H180" s="560" t="e">
        <f t="shared" si="11"/>
        <v>#REF!</v>
      </c>
      <c r="I180" s="841" t="e">
        <f ca="1">IF(G180&lt;=$AM$144,0,Apoio!E508)</f>
        <v>#N/A</v>
      </c>
      <c r="J180" s="871"/>
      <c r="K180" s="842"/>
      <c r="L180" s="731" t="e">
        <f t="shared" si="4"/>
        <v>#REF!</v>
      </c>
      <c r="M180" s="841" t="e">
        <f t="shared" ca="1" si="5"/>
        <v>#REF!</v>
      </c>
      <c r="N180" s="842"/>
      <c r="O180" s="843"/>
      <c r="P180" s="844"/>
      <c r="Q180" s="841">
        <f t="shared" si="6"/>
        <v>0</v>
      </c>
      <c r="R180" s="842"/>
      <c r="AA180" s="406" t="e">
        <f t="shared" si="7"/>
        <v>#REF!</v>
      </c>
      <c r="AB180" s="406" t="e">
        <f>IF(AND(AA180&gt;=#REF!,AA180&lt;(#REF!+#REF!*$C$74)),#REF!,0)</f>
        <v>#REF!</v>
      </c>
      <c r="AC180" s="406" t="e">
        <f t="shared" si="8"/>
        <v>#REF!</v>
      </c>
      <c r="AD180" s="406" t="e">
        <f>IF(AND(AC180&gt;=#REF!,AC180&lt;(#REF!+#REF!*$C$81)),#REF!,0)</f>
        <v>#REF!</v>
      </c>
      <c r="AE180" s="406">
        <f t="shared" si="9"/>
        <v>9</v>
      </c>
      <c r="AF180" s="406">
        <f t="shared" si="1"/>
        <v>0</v>
      </c>
      <c r="AG180" s="406">
        <f t="shared" si="10"/>
        <v>5</v>
      </c>
      <c r="AH180" s="406">
        <f t="shared" si="2"/>
        <v>0</v>
      </c>
      <c r="AI180" s="406">
        <v>29</v>
      </c>
      <c r="AJ180" s="406">
        <f t="shared" si="3"/>
        <v>0</v>
      </c>
      <c r="AK180" s="406">
        <v>29</v>
      </c>
      <c r="AL180" s="406" t="e">
        <f>IF(AK180=#REF!,#REF!,0)</f>
        <v>#REF!</v>
      </c>
      <c r="CN180" s="399"/>
      <c r="CQ180" s="766"/>
    </row>
    <row r="181" spans="7:95" ht="15" hidden="1" customHeight="1" x14ac:dyDescent="0.2">
      <c r="G181" s="543">
        <v>29</v>
      </c>
      <c r="H181" s="560" t="e">
        <f t="shared" si="11"/>
        <v>#REF!</v>
      </c>
      <c r="I181" s="841" t="e">
        <f ca="1">IF(G181&lt;=$AM$144,0,Apoio!E509)</f>
        <v>#N/A</v>
      </c>
      <c r="J181" s="871"/>
      <c r="K181" s="842"/>
      <c r="L181" s="731" t="e">
        <f t="shared" si="4"/>
        <v>#REF!</v>
      </c>
      <c r="M181" s="841" t="e">
        <f t="shared" ca="1" si="5"/>
        <v>#REF!</v>
      </c>
      <c r="N181" s="842"/>
      <c r="O181" s="843"/>
      <c r="P181" s="844"/>
      <c r="Q181" s="841">
        <f t="shared" si="6"/>
        <v>0</v>
      </c>
      <c r="R181" s="842"/>
      <c r="AA181" s="406" t="e">
        <f t="shared" si="7"/>
        <v>#REF!</v>
      </c>
      <c r="AB181" s="406" t="e">
        <f>IF(AND(AA181&gt;=#REF!,AA181&lt;(#REF!+#REF!*$C$74)),#REF!,0)</f>
        <v>#REF!</v>
      </c>
      <c r="AC181" s="406" t="e">
        <f t="shared" si="8"/>
        <v>#REF!</v>
      </c>
      <c r="AD181" s="406" t="e">
        <f>IF(AND(AC181&gt;=#REF!,AC181&lt;(#REF!+#REF!*$C$81)),#REF!,0)</f>
        <v>#REF!</v>
      </c>
      <c r="AE181" s="406">
        <f t="shared" si="9"/>
        <v>9</v>
      </c>
      <c r="AF181" s="406">
        <f t="shared" si="1"/>
        <v>0</v>
      </c>
      <c r="AG181" s="406">
        <f t="shared" si="10"/>
        <v>5</v>
      </c>
      <c r="AH181" s="406">
        <f t="shared" si="2"/>
        <v>0</v>
      </c>
      <c r="AI181" s="406">
        <v>30</v>
      </c>
      <c r="AJ181" s="406">
        <f t="shared" si="3"/>
        <v>0</v>
      </c>
      <c r="AK181" s="406">
        <v>30</v>
      </c>
      <c r="AL181" s="406" t="e">
        <f>IF(AK181=#REF!,#REF!,0)</f>
        <v>#REF!</v>
      </c>
      <c r="CN181" s="399"/>
      <c r="CQ181" s="766"/>
    </row>
    <row r="182" spans="7:95" ht="15" hidden="1" customHeight="1" x14ac:dyDescent="0.2">
      <c r="G182" s="543">
        <v>30</v>
      </c>
      <c r="H182" s="560" t="e">
        <f t="shared" si="11"/>
        <v>#REF!</v>
      </c>
      <c r="I182" s="841" t="e">
        <f ca="1">IF(G182&lt;=$AM$144,0,Apoio!E510)</f>
        <v>#N/A</v>
      </c>
      <c r="J182" s="871"/>
      <c r="K182" s="842"/>
      <c r="L182" s="731" t="e">
        <f t="shared" si="4"/>
        <v>#REF!</v>
      </c>
      <c r="M182" s="841" t="e">
        <f t="shared" ca="1" si="5"/>
        <v>#REF!</v>
      </c>
      <c r="N182" s="842"/>
      <c r="O182" s="843"/>
      <c r="P182" s="844"/>
      <c r="Q182" s="841">
        <f t="shared" si="6"/>
        <v>0</v>
      </c>
      <c r="R182" s="842"/>
      <c r="AA182" s="406" t="e">
        <f t="shared" si="7"/>
        <v>#REF!</v>
      </c>
      <c r="AB182" s="406" t="e">
        <f>IF(AND(AA182&gt;=#REF!,AA182&lt;(#REF!+#REF!*$C$74)),#REF!,0)</f>
        <v>#REF!</v>
      </c>
      <c r="AC182" s="406" t="e">
        <f t="shared" si="8"/>
        <v>#REF!</v>
      </c>
      <c r="AD182" s="406" t="e">
        <f>IF(AND(AC182&gt;=#REF!,AC182&lt;(#REF!+#REF!*$C$81)),#REF!,0)</f>
        <v>#REF!</v>
      </c>
      <c r="AE182" s="406">
        <f t="shared" si="9"/>
        <v>9</v>
      </c>
      <c r="AF182" s="406">
        <f t="shared" si="1"/>
        <v>0</v>
      </c>
      <c r="AG182" s="406">
        <f t="shared" si="10"/>
        <v>5</v>
      </c>
      <c r="AH182" s="406">
        <f t="shared" si="2"/>
        <v>0</v>
      </c>
      <c r="AI182" s="406">
        <v>31</v>
      </c>
      <c r="AJ182" s="406">
        <f t="shared" si="3"/>
        <v>0</v>
      </c>
      <c r="AK182" s="406">
        <v>31</v>
      </c>
      <c r="AL182" s="406" t="e">
        <f>IF(AK182=#REF!,#REF!,0)</f>
        <v>#REF!</v>
      </c>
      <c r="CN182" s="399"/>
      <c r="CQ182" s="766"/>
    </row>
    <row r="183" spans="7:95" ht="15" hidden="1" customHeight="1" x14ac:dyDescent="0.2">
      <c r="G183" s="543">
        <v>31</v>
      </c>
      <c r="H183" s="560" t="e">
        <f t="shared" si="11"/>
        <v>#REF!</v>
      </c>
      <c r="I183" s="841" t="e">
        <f ca="1">IF(G183&lt;=$AM$144,0,Apoio!E511)</f>
        <v>#N/A</v>
      </c>
      <c r="J183" s="871"/>
      <c r="K183" s="842"/>
      <c r="L183" s="731" t="e">
        <f t="shared" si="4"/>
        <v>#REF!</v>
      </c>
      <c r="M183" s="841" t="e">
        <f t="shared" ca="1" si="5"/>
        <v>#REF!</v>
      </c>
      <c r="N183" s="842"/>
      <c r="O183" s="843"/>
      <c r="P183" s="844"/>
      <c r="Q183" s="841">
        <f t="shared" si="6"/>
        <v>0</v>
      </c>
      <c r="R183" s="842"/>
      <c r="AA183" s="406" t="e">
        <f t="shared" si="7"/>
        <v>#REF!</v>
      </c>
      <c r="AB183" s="406" t="e">
        <f>IF(AND(AA183&gt;=#REF!,AA183&lt;(#REF!+#REF!*$C$74)),#REF!,0)</f>
        <v>#REF!</v>
      </c>
      <c r="AC183" s="406" t="e">
        <f t="shared" si="8"/>
        <v>#REF!</v>
      </c>
      <c r="AD183" s="406" t="e">
        <f>IF(AND(AC183&gt;=#REF!,AC183&lt;(#REF!+#REF!*$C$81)),#REF!,0)</f>
        <v>#REF!</v>
      </c>
      <c r="AE183" s="406">
        <f t="shared" si="9"/>
        <v>9</v>
      </c>
      <c r="AF183" s="406">
        <f t="shared" si="1"/>
        <v>0</v>
      </c>
      <c r="AG183" s="406">
        <f t="shared" si="10"/>
        <v>5</v>
      </c>
      <c r="AH183" s="406">
        <f t="shared" si="2"/>
        <v>0</v>
      </c>
      <c r="AI183" s="406">
        <v>32</v>
      </c>
      <c r="AJ183" s="406">
        <f t="shared" si="3"/>
        <v>0</v>
      </c>
      <c r="AK183" s="406">
        <v>32</v>
      </c>
      <c r="AL183" s="406" t="e">
        <f>IF(AK183=#REF!,#REF!,0)</f>
        <v>#REF!</v>
      </c>
      <c r="CN183" s="399"/>
      <c r="CQ183" s="766"/>
    </row>
    <row r="184" spans="7:95" ht="15" hidden="1" customHeight="1" x14ac:dyDescent="0.2">
      <c r="G184" s="543">
        <v>32</v>
      </c>
      <c r="H184" s="560" t="e">
        <f t="shared" si="11"/>
        <v>#REF!</v>
      </c>
      <c r="I184" s="841" t="e">
        <f ca="1">IF(G184&lt;=$AM$144,0,Apoio!E512)</f>
        <v>#N/A</v>
      </c>
      <c r="J184" s="871"/>
      <c r="K184" s="842"/>
      <c r="L184" s="731" t="e">
        <f t="shared" si="4"/>
        <v>#REF!</v>
      </c>
      <c r="M184" s="841" t="e">
        <f t="shared" ca="1" si="5"/>
        <v>#REF!</v>
      </c>
      <c r="N184" s="842"/>
      <c r="O184" s="843"/>
      <c r="P184" s="844"/>
      <c r="Q184" s="841">
        <f t="shared" si="6"/>
        <v>0</v>
      </c>
      <c r="R184" s="842"/>
      <c r="AA184" s="406" t="e">
        <f t="shared" si="7"/>
        <v>#REF!</v>
      </c>
      <c r="AB184" s="406" t="e">
        <f>IF(AND(AA184&gt;=#REF!,AA184&lt;(#REF!+#REF!*$C$74)),#REF!,0)</f>
        <v>#REF!</v>
      </c>
      <c r="AC184" s="406" t="e">
        <f t="shared" si="8"/>
        <v>#REF!</v>
      </c>
      <c r="AD184" s="406" t="e">
        <f>IF(AND(AC184&gt;=#REF!,AC184&lt;(#REF!+#REF!*$C$81)),#REF!,0)</f>
        <v>#REF!</v>
      </c>
      <c r="AE184" s="406">
        <f t="shared" si="9"/>
        <v>9</v>
      </c>
      <c r="AF184" s="406">
        <f t="shared" si="1"/>
        <v>0</v>
      </c>
      <c r="AG184" s="406">
        <f t="shared" si="10"/>
        <v>5</v>
      </c>
      <c r="AH184" s="406">
        <f t="shared" si="2"/>
        <v>0</v>
      </c>
      <c r="AI184" s="406">
        <v>33</v>
      </c>
      <c r="AJ184" s="406">
        <f t="shared" si="3"/>
        <v>0</v>
      </c>
      <c r="AK184" s="406">
        <v>33</v>
      </c>
      <c r="AL184" s="406" t="e">
        <f>IF(AK184=#REF!,#REF!,0)</f>
        <v>#REF!</v>
      </c>
      <c r="CN184" s="399"/>
      <c r="CQ184" s="766"/>
    </row>
    <row r="185" spans="7:95" ht="15" hidden="1" customHeight="1" x14ac:dyDescent="0.2">
      <c r="G185" s="543">
        <v>33</v>
      </c>
      <c r="H185" s="560" t="e">
        <f t="shared" si="11"/>
        <v>#REF!</v>
      </c>
      <c r="I185" s="841" t="e">
        <f ca="1">IF(G185&lt;=$AM$144,0,Apoio!E513)</f>
        <v>#N/A</v>
      </c>
      <c r="J185" s="871"/>
      <c r="K185" s="842"/>
      <c r="L185" s="731" t="e">
        <f t="shared" si="4"/>
        <v>#REF!</v>
      </c>
      <c r="M185" s="841" t="e">
        <f t="shared" ca="1" si="5"/>
        <v>#REF!</v>
      </c>
      <c r="N185" s="842"/>
      <c r="O185" s="843"/>
      <c r="P185" s="844"/>
      <c r="Q185" s="841">
        <f t="shared" si="6"/>
        <v>0</v>
      </c>
      <c r="R185" s="842"/>
      <c r="AA185" s="406" t="e">
        <f t="shared" si="7"/>
        <v>#REF!</v>
      </c>
      <c r="AB185" s="406" t="e">
        <f>IF(AND(AA185&gt;=#REF!,AA185&lt;(#REF!+#REF!*$C$74)),#REF!,0)</f>
        <v>#REF!</v>
      </c>
      <c r="AC185" s="406" t="e">
        <f t="shared" si="8"/>
        <v>#REF!</v>
      </c>
      <c r="AD185" s="406" t="e">
        <f>IF(AND(AC185&gt;=#REF!,AC185&lt;(#REF!+#REF!*$C$81)),#REF!,0)</f>
        <v>#REF!</v>
      </c>
      <c r="AE185" s="406">
        <f t="shared" si="9"/>
        <v>9</v>
      </c>
      <c r="AF185" s="406">
        <f t="shared" si="1"/>
        <v>0</v>
      </c>
      <c r="AG185" s="406">
        <f t="shared" si="10"/>
        <v>5</v>
      </c>
      <c r="AH185" s="406">
        <f t="shared" si="2"/>
        <v>0</v>
      </c>
      <c r="AI185" s="406">
        <v>34</v>
      </c>
      <c r="AJ185" s="406">
        <f t="shared" si="3"/>
        <v>0</v>
      </c>
      <c r="AK185" s="406">
        <v>34</v>
      </c>
      <c r="AL185" s="406" t="e">
        <f>IF(AK185=#REF!,#REF!,0)</f>
        <v>#REF!</v>
      </c>
      <c r="CN185" s="399"/>
      <c r="CQ185" s="766"/>
    </row>
    <row r="186" spans="7:95" ht="15" hidden="1" customHeight="1" x14ac:dyDescent="0.2">
      <c r="G186" s="543">
        <v>34</v>
      </c>
      <c r="H186" s="560" t="e">
        <f t="shared" si="11"/>
        <v>#REF!</v>
      </c>
      <c r="I186" s="841" t="e">
        <f ca="1">IF(G186&lt;=$AM$144,0,Apoio!E514)</f>
        <v>#N/A</v>
      </c>
      <c r="J186" s="871"/>
      <c r="K186" s="842"/>
      <c r="L186" s="731" t="e">
        <f t="shared" si="4"/>
        <v>#REF!</v>
      </c>
      <c r="M186" s="841" t="e">
        <f t="shared" ca="1" si="5"/>
        <v>#REF!</v>
      </c>
      <c r="N186" s="842"/>
      <c r="O186" s="843"/>
      <c r="P186" s="844"/>
      <c r="Q186" s="841">
        <f t="shared" si="6"/>
        <v>0</v>
      </c>
      <c r="R186" s="842"/>
      <c r="AA186" s="406" t="e">
        <f t="shared" si="7"/>
        <v>#REF!</v>
      </c>
      <c r="AB186" s="406" t="e">
        <f>IF(AND(AA186&gt;=#REF!,AA186&lt;(#REF!+#REF!*$C$74)),#REF!,0)</f>
        <v>#REF!</v>
      </c>
      <c r="AC186" s="406" t="e">
        <f t="shared" si="8"/>
        <v>#REF!</v>
      </c>
      <c r="AD186" s="406" t="e">
        <f>IF(AND(AC186&gt;=#REF!,AC186&lt;(#REF!+#REF!*$C$81)),#REF!,0)</f>
        <v>#REF!</v>
      </c>
      <c r="AE186" s="406">
        <f t="shared" si="9"/>
        <v>9</v>
      </c>
      <c r="AF186" s="406">
        <f t="shared" si="1"/>
        <v>0</v>
      </c>
      <c r="AG186" s="406">
        <f t="shared" si="10"/>
        <v>5</v>
      </c>
      <c r="AH186" s="406">
        <f t="shared" si="2"/>
        <v>0</v>
      </c>
      <c r="AI186" s="406">
        <v>35</v>
      </c>
      <c r="AJ186" s="406">
        <f t="shared" si="3"/>
        <v>0</v>
      </c>
      <c r="AK186" s="406">
        <v>35</v>
      </c>
      <c r="AL186" s="406" t="e">
        <f>IF(AK186=#REF!,#REF!,0)</f>
        <v>#REF!</v>
      </c>
      <c r="CN186" s="399"/>
      <c r="CQ186" s="766"/>
    </row>
    <row r="187" spans="7:95" ht="15" hidden="1" customHeight="1" x14ac:dyDescent="0.2">
      <c r="G187" s="543">
        <v>35</v>
      </c>
      <c r="H187" s="560" t="e">
        <f t="shared" si="11"/>
        <v>#REF!</v>
      </c>
      <c r="I187" s="841" t="e">
        <f ca="1">IF(G187&lt;=$AM$144,0,Apoio!E515)</f>
        <v>#N/A</v>
      </c>
      <c r="J187" s="871"/>
      <c r="K187" s="842"/>
      <c r="L187" s="731" t="e">
        <f t="shared" si="4"/>
        <v>#REF!</v>
      </c>
      <c r="M187" s="841" t="e">
        <f t="shared" ca="1" si="5"/>
        <v>#REF!</v>
      </c>
      <c r="N187" s="842"/>
      <c r="O187" s="843"/>
      <c r="P187" s="844"/>
      <c r="Q187" s="841">
        <f t="shared" si="6"/>
        <v>0</v>
      </c>
      <c r="R187" s="842"/>
      <c r="AA187" s="406" t="e">
        <f t="shared" ref="AA187:AA192" si="12">AA186+$C$74</f>
        <v>#REF!</v>
      </c>
      <c r="AB187" s="406" t="e">
        <f>IF(AND(AA187&gt;=#REF!,AA187&lt;(#REF!+#REF!*$C$74)),#REF!,0)</f>
        <v>#REF!</v>
      </c>
      <c r="AC187" s="406" t="e">
        <f t="shared" ref="AC187:AC192" si="13">AC186+$C$81</f>
        <v>#REF!</v>
      </c>
      <c r="AD187" s="406" t="e">
        <f>IF(AND(AC187&gt;=#REF!,AC187&lt;(#REF!+#REF!*$C$81)),#REF!,0)</f>
        <v>#REF!</v>
      </c>
      <c r="AE187" s="406">
        <f t="shared" ref="AE187:AE192" si="14">AE186+$C$83</f>
        <v>9</v>
      </c>
      <c r="AF187" s="406">
        <f t="shared" si="1"/>
        <v>0</v>
      </c>
      <c r="AG187" s="406">
        <f t="shared" ref="AG187:AG192" si="15">AG186+$C$85</f>
        <v>5</v>
      </c>
      <c r="AH187" s="406">
        <f t="shared" si="2"/>
        <v>0</v>
      </c>
      <c r="AI187" s="406">
        <v>36</v>
      </c>
      <c r="AJ187" s="406">
        <f t="shared" si="3"/>
        <v>0</v>
      </c>
      <c r="AK187" s="406">
        <v>36</v>
      </c>
      <c r="AL187" s="406" t="e">
        <f>IF(AK187=#REF!,#REF!,0)</f>
        <v>#REF!</v>
      </c>
      <c r="CN187" s="399"/>
      <c r="CQ187" s="766"/>
    </row>
    <row r="188" spans="7:95" ht="15" hidden="1" customHeight="1" x14ac:dyDescent="0.2">
      <c r="G188" s="543">
        <v>36</v>
      </c>
      <c r="H188" s="560" t="e">
        <f t="shared" si="11"/>
        <v>#REF!</v>
      </c>
      <c r="I188" s="841" t="e">
        <f ca="1">IF(G188&lt;=$AM$144,0,Apoio!E516)</f>
        <v>#N/A</v>
      </c>
      <c r="J188" s="871"/>
      <c r="K188" s="842"/>
      <c r="L188" s="731" t="e">
        <f t="shared" si="4"/>
        <v>#REF!</v>
      </c>
      <c r="M188" s="841" t="e">
        <f t="shared" ca="1" si="5"/>
        <v>#REF!</v>
      </c>
      <c r="N188" s="842"/>
      <c r="O188" s="843"/>
      <c r="P188" s="844"/>
      <c r="Q188" s="841">
        <f t="shared" si="6"/>
        <v>0</v>
      </c>
      <c r="R188" s="842"/>
      <c r="AA188" s="406" t="e">
        <f t="shared" si="12"/>
        <v>#REF!</v>
      </c>
      <c r="AB188" s="406" t="e">
        <f>IF(AND(AA188&gt;=#REF!,AA188&lt;(#REF!+#REF!*$C$74)),#REF!,0)</f>
        <v>#REF!</v>
      </c>
      <c r="AC188" s="406" t="e">
        <f t="shared" si="13"/>
        <v>#REF!</v>
      </c>
      <c r="AD188" s="406" t="e">
        <f>IF(AND(AC188&gt;=#REF!,AC188&lt;(#REF!+#REF!*$C$81)),#REF!,0)</f>
        <v>#REF!</v>
      </c>
      <c r="AE188" s="406">
        <f t="shared" si="14"/>
        <v>9</v>
      </c>
      <c r="AF188" s="406">
        <f t="shared" si="1"/>
        <v>0</v>
      </c>
      <c r="AG188" s="406">
        <f t="shared" si="15"/>
        <v>5</v>
      </c>
      <c r="AH188" s="406">
        <f t="shared" si="2"/>
        <v>0</v>
      </c>
      <c r="AI188" s="406">
        <v>37</v>
      </c>
      <c r="AJ188" s="406">
        <f t="shared" si="3"/>
        <v>0</v>
      </c>
      <c r="AK188" s="406">
        <v>37</v>
      </c>
      <c r="AL188" s="406" t="e">
        <f>IF(AK188=#REF!,#REF!,0)</f>
        <v>#REF!</v>
      </c>
      <c r="CN188" s="399"/>
      <c r="CQ188" s="766"/>
    </row>
    <row r="189" spans="7:95" ht="15" hidden="1" customHeight="1" x14ac:dyDescent="0.2">
      <c r="G189" s="543">
        <v>37</v>
      </c>
      <c r="H189" s="560" t="e">
        <f t="shared" si="11"/>
        <v>#REF!</v>
      </c>
      <c r="I189" s="841" t="e">
        <f ca="1">IF(G189&lt;=$AM$144,0,Apoio!E517)</f>
        <v>#N/A</v>
      </c>
      <c r="J189" s="871"/>
      <c r="K189" s="842"/>
      <c r="L189" s="731" t="e">
        <f t="shared" si="4"/>
        <v>#REF!</v>
      </c>
      <c r="M189" s="841" t="e">
        <f t="shared" ca="1" si="5"/>
        <v>#REF!</v>
      </c>
      <c r="N189" s="842"/>
      <c r="O189" s="843"/>
      <c r="P189" s="844"/>
      <c r="Q189" s="841">
        <f t="shared" si="6"/>
        <v>0</v>
      </c>
      <c r="R189" s="842"/>
      <c r="AA189" s="406" t="e">
        <f t="shared" si="12"/>
        <v>#REF!</v>
      </c>
      <c r="AB189" s="406" t="e">
        <f>IF(AND(AA189&gt;=#REF!,AA189&lt;(#REF!+#REF!*$C$74)),#REF!,0)</f>
        <v>#REF!</v>
      </c>
      <c r="AC189" s="406" t="e">
        <f t="shared" si="13"/>
        <v>#REF!</v>
      </c>
      <c r="AD189" s="406" t="e">
        <f>IF(AND(AC189&gt;=#REF!,AC189&lt;(#REF!+#REF!*$C$81)),#REF!,0)</f>
        <v>#REF!</v>
      </c>
      <c r="AE189" s="406">
        <f t="shared" si="14"/>
        <v>9</v>
      </c>
      <c r="AF189" s="406">
        <f t="shared" si="1"/>
        <v>0</v>
      </c>
      <c r="AG189" s="406">
        <f t="shared" si="15"/>
        <v>5</v>
      </c>
      <c r="AH189" s="406">
        <f t="shared" si="2"/>
        <v>0</v>
      </c>
      <c r="AI189" s="406">
        <v>38</v>
      </c>
      <c r="AJ189" s="406">
        <f t="shared" si="3"/>
        <v>0</v>
      </c>
      <c r="AK189" s="406">
        <v>38</v>
      </c>
      <c r="AL189" s="406" t="e">
        <f>IF(AK189=#REF!,#REF!,0)</f>
        <v>#REF!</v>
      </c>
      <c r="CN189" s="399"/>
      <c r="CQ189" s="766"/>
    </row>
    <row r="190" spans="7:95" ht="15" hidden="1" customHeight="1" x14ac:dyDescent="0.2">
      <c r="G190" s="543">
        <v>38</v>
      </c>
      <c r="H190" s="560" t="e">
        <f t="shared" si="11"/>
        <v>#REF!</v>
      </c>
      <c r="I190" s="841" t="e">
        <f ca="1">IF(G190&lt;=$AM$144,0,Apoio!E518)</f>
        <v>#N/A</v>
      </c>
      <c r="J190" s="871"/>
      <c r="K190" s="842"/>
      <c r="L190" s="731" t="e">
        <f t="shared" si="4"/>
        <v>#REF!</v>
      </c>
      <c r="M190" s="841" t="e">
        <f t="shared" ca="1" si="5"/>
        <v>#REF!</v>
      </c>
      <c r="N190" s="842"/>
      <c r="O190" s="843"/>
      <c r="P190" s="844"/>
      <c r="Q190" s="841">
        <f t="shared" si="6"/>
        <v>0</v>
      </c>
      <c r="R190" s="842"/>
      <c r="AA190" s="406" t="e">
        <f t="shared" si="12"/>
        <v>#REF!</v>
      </c>
      <c r="AB190" s="406" t="e">
        <f>IF(AND(AA190&gt;=#REF!,AA190&lt;(#REF!+#REF!*$C$74)),#REF!,0)</f>
        <v>#REF!</v>
      </c>
      <c r="AC190" s="406" t="e">
        <f t="shared" si="13"/>
        <v>#REF!</v>
      </c>
      <c r="AD190" s="406" t="e">
        <f>IF(AND(AC190&gt;=#REF!,AC190&lt;(#REF!+#REF!*$C$81)),#REF!,0)</f>
        <v>#REF!</v>
      </c>
      <c r="AE190" s="406">
        <f t="shared" si="14"/>
        <v>9</v>
      </c>
      <c r="AF190" s="406">
        <f t="shared" si="1"/>
        <v>0</v>
      </c>
      <c r="AG190" s="406">
        <f t="shared" si="15"/>
        <v>5</v>
      </c>
      <c r="AH190" s="406">
        <f t="shared" si="2"/>
        <v>0</v>
      </c>
      <c r="AI190" s="406">
        <v>39</v>
      </c>
      <c r="AJ190" s="406">
        <f t="shared" si="3"/>
        <v>0</v>
      </c>
      <c r="AK190" s="406">
        <v>39</v>
      </c>
      <c r="AL190" s="406" t="e">
        <f>IF(AK190=#REF!,#REF!,0)</f>
        <v>#REF!</v>
      </c>
      <c r="CN190" s="399"/>
      <c r="CQ190" s="766"/>
    </row>
    <row r="191" spans="7:95" ht="15" hidden="1" customHeight="1" x14ac:dyDescent="0.2">
      <c r="G191" s="543">
        <v>39</v>
      </c>
      <c r="H191" s="560" t="e">
        <f t="shared" si="11"/>
        <v>#REF!</v>
      </c>
      <c r="I191" s="841" t="e">
        <f ca="1">IF(G191&lt;=$AM$144,0,Apoio!E519)</f>
        <v>#N/A</v>
      </c>
      <c r="J191" s="871"/>
      <c r="K191" s="842"/>
      <c r="L191" s="731" t="e">
        <f t="shared" si="4"/>
        <v>#REF!</v>
      </c>
      <c r="M191" s="841" t="e">
        <f t="shared" ca="1" si="5"/>
        <v>#REF!</v>
      </c>
      <c r="N191" s="842"/>
      <c r="O191" s="843"/>
      <c r="P191" s="844"/>
      <c r="Q191" s="841">
        <f t="shared" si="6"/>
        <v>0</v>
      </c>
      <c r="R191" s="842"/>
      <c r="AA191" s="406" t="e">
        <f t="shared" si="12"/>
        <v>#REF!</v>
      </c>
      <c r="AB191" s="406" t="e">
        <f>IF(AND(AA191&gt;=#REF!,AA191&lt;(#REF!+#REF!*$C$74)),#REF!,0)</f>
        <v>#REF!</v>
      </c>
      <c r="AC191" s="406" t="e">
        <f t="shared" si="13"/>
        <v>#REF!</v>
      </c>
      <c r="AD191" s="406" t="e">
        <f>IF(AND(AC191&gt;=#REF!,AC191&lt;(#REF!+#REF!*$C$81)),#REF!,0)</f>
        <v>#REF!</v>
      </c>
      <c r="AE191" s="406">
        <f t="shared" si="14"/>
        <v>9</v>
      </c>
      <c r="AF191" s="406">
        <f t="shared" si="1"/>
        <v>0</v>
      </c>
      <c r="AG191" s="406">
        <f t="shared" si="15"/>
        <v>5</v>
      </c>
      <c r="AH191" s="406">
        <f t="shared" si="2"/>
        <v>0</v>
      </c>
      <c r="AI191" s="406">
        <v>40</v>
      </c>
      <c r="AJ191" s="406">
        <f t="shared" si="3"/>
        <v>0</v>
      </c>
      <c r="AK191" s="406">
        <v>40</v>
      </c>
      <c r="AL191" s="406" t="e">
        <f>IF(AK191=#REF!,#REF!,0)</f>
        <v>#REF!</v>
      </c>
      <c r="CN191" s="399"/>
      <c r="CQ191" s="766"/>
    </row>
    <row r="192" spans="7:95" ht="15" hidden="1" customHeight="1" x14ac:dyDescent="0.2">
      <c r="G192" s="543">
        <v>40</v>
      </c>
      <c r="H192" s="560" t="e">
        <f t="shared" si="11"/>
        <v>#REF!</v>
      </c>
      <c r="I192" s="841" t="e">
        <f ca="1">IF(G192&lt;=$AM$144,0,Apoio!E520)</f>
        <v>#N/A</v>
      </c>
      <c r="J192" s="871"/>
      <c r="K192" s="842"/>
      <c r="L192" s="731" t="e">
        <f t="shared" si="4"/>
        <v>#REF!</v>
      </c>
      <c r="M192" s="841" t="e">
        <f t="shared" ca="1" si="5"/>
        <v>#REF!</v>
      </c>
      <c r="N192" s="842"/>
      <c r="O192" s="843"/>
      <c r="P192" s="844"/>
      <c r="Q192" s="841">
        <f t="shared" si="6"/>
        <v>0</v>
      </c>
      <c r="R192" s="842"/>
      <c r="AA192" s="406" t="e">
        <f t="shared" si="12"/>
        <v>#REF!</v>
      </c>
      <c r="AB192" s="406" t="e">
        <f>IF(AND(AA192&gt;=#REF!,AA192&lt;(#REF!+#REF!*$C$74)),#REF!,0)</f>
        <v>#REF!</v>
      </c>
      <c r="AC192" s="406" t="e">
        <f t="shared" si="13"/>
        <v>#REF!</v>
      </c>
      <c r="AD192" s="406" t="e">
        <f>IF(AND(AC192&gt;=#REF!,AC192&lt;(#REF!+#REF!*$C$81)),#REF!,0)</f>
        <v>#REF!</v>
      </c>
      <c r="AE192" s="406">
        <f t="shared" si="14"/>
        <v>9</v>
      </c>
      <c r="AF192" s="406">
        <f t="shared" si="1"/>
        <v>0</v>
      </c>
      <c r="AG192" s="406">
        <f t="shared" si="15"/>
        <v>5</v>
      </c>
      <c r="AH192" s="406">
        <f t="shared" si="2"/>
        <v>0</v>
      </c>
      <c r="AI192" s="406">
        <v>41</v>
      </c>
      <c r="AJ192" s="406">
        <f t="shared" si="3"/>
        <v>0</v>
      </c>
      <c r="AK192" s="406">
        <v>41</v>
      </c>
      <c r="AL192" s="406" t="e">
        <f>IF(AK192=#REF!,#REF!,0)</f>
        <v>#REF!</v>
      </c>
      <c r="CN192" s="399"/>
      <c r="CQ192" s="766"/>
    </row>
    <row r="193" spans="13:95" ht="19.5" hidden="1" x14ac:dyDescent="0.2">
      <c r="M193" s="1075"/>
      <c r="N193" s="1075"/>
      <c r="O193" s="431"/>
      <c r="P193" s="431"/>
      <c r="AA193" s="406">
        <v>1</v>
      </c>
      <c r="AB193" s="406">
        <v>0</v>
      </c>
      <c r="AC193" s="406">
        <v>1</v>
      </c>
      <c r="AD193" s="406">
        <v>0</v>
      </c>
      <c r="AE193" s="406">
        <v>1</v>
      </c>
      <c r="AF193" s="406">
        <v>0</v>
      </c>
      <c r="AG193" s="406">
        <v>1</v>
      </c>
      <c r="AH193" s="406">
        <v>0</v>
      </c>
      <c r="AI193" s="406">
        <v>1</v>
      </c>
      <c r="AJ193" s="406">
        <v>0</v>
      </c>
      <c r="AK193" s="406">
        <v>1</v>
      </c>
      <c r="AL193" s="406">
        <v>0</v>
      </c>
      <c r="CN193" s="399"/>
      <c r="CQ193" s="766"/>
    </row>
    <row r="194" spans="13:95" ht="19.5" hidden="1" x14ac:dyDescent="0.2">
      <c r="M194" s="1074"/>
      <c r="N194" s="1074"/>
      <c r="O194" s="431"/>
      <c r="P194" s="431"/>
      <c r="AA194" s="406">
        <v>2</v>
      </c>
      <c r="AB194" s="406">
        <v>0</v>
      </c>
      <c r="AC194" s="406">
        <v>2</v>
      </c>
      <c r="AD194" s="406">
        <v>0</v>
      </c>
      <c r="AE194" s="406">
        <v>2</v>
      </c>
      <c r="AF194" s="406">
        <v>0</v>
      </c>
      <c r="AG194" s="406">
        <v>2</v>
      </c>
      <c r="AH194" s="406">
        <v>0</v>
      </c>
      <c r="AI194" s="406">
        <v>2</v>
      </c>
      <c r="AJ194" s="406">
        <v>0</v>
      </c>
      <c r="AK194" s="406">
        <v>2</v>
      </c>
      <c r="AL194" s="406">
        <v>0</v>
      </c>
      <c r="CN194" s="399"/>
      <c r="CQ194" s="766"/>
    </row>
    <row r="195" spans="13:95" ht="19.5" hidden="1" x14ac:dyDescent="0.2">
      <c r="M195" s="1074"/>
      <c r="N195" s="1074"/>
      <c r="O195" s="431"/>
      <c r="P195" s="431"/>
      <c r="AA195" s="406">
        <v>3</v>
      </c>
      <c r="AB195" s="406">
        <v>0</v>
      </c>
      <c r="AC195" s="406">
        <v>3</v>
      </c>
      <c r="AD195" s="406">
        <v>0</v>
      </c>
      <c r="AE195" s="406">
        <v>3</v>
      </c>
      <c r="AF195" s="406">
        <v>0</v>
      </c>
      <c r="AG195" s="406">
        <v>3</v>
      </c>
      <c r="AH195" s="406">
        <v>0</v>
      </c>
      <c r="AI195" s="406">
        <v>3</v>
      </c>
      <c r="AJ195" s="406">
        <v>0</v>
      </c>
      <c r="AK195" s="406">
        <v>3</v>
      </c>
      <c r="AL195" s="406">
        <v>0</v>
      </c>
      <c r="CN195" s="399"/>
      <c r="CQ195" s="766"/>
    </row>
    <row r="196" spans="13:95" ht="19.5" hidden="1" x14ac:dyDescent="0.2">
      <c r="M196" s="1074"/>
      <c r="N196" s="1074"/>
      <c r="AA196" s="406">
        <v>4</v>
      </c>
      <c r="AB196" s="406">
        <v>0</v>
      </c>
      <c r="AC196" s="406">
        <v>4</v>
      </c>
      <c r="AD196" s="406">
        <v>0</v>
      </c>
      <c r="AE196" s="406">
        <v>4</v>
      </c>
      <c r="AF196" s="406">
        <v>0</v>
      </c>
      <c r="AG196" s="406">
        <v>4</v>
      </c>
      <c r="AH196" s="406">
        <v>0</v>
      </c>
      <c r="AI196" s="406">
        <v>4</v>
      </c>
      <c r="AJ196" s="406">
        <v>0</v>
      </c>
      <c r="AK196" s="406">
        <v>4</v>
      </c>
      <c r="AL196" s="406">
        <v>0</v>
      </c>
      <c r="CN196" s="399"/>
      <c r="CQ196" s="766"/>
    </row>
    <row r="197" spans="13:95" ht="19.5" x14ac:dyDescent="0.2">
      <c r="M197" s="1074"/>
      <c r="N197" s="1074"/>
      <c r="AA197" s="406">
        <v>5</v>
      </c>
      <c r="AB197" s="406">
        <v>0</v>
      </c>
      <c r="AC197" s="406">
        <v>5</v>
      </c>
      <c r="AD197" s="406">
        <v>0</v>
      </c>
      <c r="AE197" s="406">
        <v>5</v>
      </c>
      <c r="AF197" s="406">
        <v>0</v>
      </c>
      <c r="AG197" s="406">
        <v>5</v>
      </c>
      <c r="AH197" s="406">
        <v>0</v>
      </c>
      <c r="AI197" s="406">
        <v>5</v>
      </c>
      <c r="AJ197" s="406">
        <v>0</v>
      </c>
      <c r="AK197" s="406">
        <v>5</v>
      </c>
      <c r="AL197" s="406">
        <v>0</v>
      </c>
      <c r="CN197" s="399"/>
      <c r="CQ197" s="766"/>
    </row>
    <row r="198" spans="13:95" ht="19.5" x14ac:dyDescent="0.2">
      <c r="M198" s="1074"/>
      <c r="N198" s="1074"/>
      <c r="AA198" s="406">
        <v>6</v>
      </c>
      <c r="AB198" s="406">
        <v>0</v>
      </c>
      <c r="AC198" s="406">
        <v>6</v>
      </c>
      <c r="AD198" s="406">
        <v>0</v>
      </c>
      <c r="AE198" s="406">
        <v>6</v>
      </c>
      <c r="AF198" s="406">
        <v>0</v>
      </c>
      <c r="AG198" s="406">
        <v>6</v>
      </c>
      <c r="AH198" s="406">
        <v>0</v>
      </c>
      <c r="AI198" s="406">
        <v>6</v>
      </c>
      <c r="AJ198" s="406">
        <v>0</v>
      </c>
      <c r="AK198" s="406">
        <v>6</v>
      </c>
      <c r="AL198" s="406">
        <v>0</v>
      </c>
      <c r="CN198" s="399"/>
      <c r="CQ198" s="766"/>
    </row>
    <row r="199" spans="13:95" ht="19.5" x14ac:dyDescent="0.2">
      <c r="M199" s="1074"/>
      <c r="N199" s="1074"/>
      <c r="AA199" s="406">
        <v>7</v>
      </c>
      <c r="AB199" s="406">
        <v>0</v>
      </c>
      <c r="AC199" s="406">
        <v>7</v>
      </c>
      <c r="AD199" s="406">
        <v>0</v>
      </c>
      <c r="AE199" s="406">
        <v>7</v>
      </c>
      <c r="AF199" s="406">
        <v>0</v>
      </c>
      <c r="AG199" s="406">
        <v>7</v>
      </c>
      <c r="AH199" s="406">
        <v>0</v>
      </c>
      <c r="AI199" s="406">
        <v>7</v>
      </c>
      <c r="AJ199" s="406">
        <v>0</v>
      </c>
      <c r="AK199" s="406">
        <v>7</v>
      </c>
      <c r="AL199" s="406">
        <v>0</v>
      </c>
      <c r="CN199" s="399"/>
      <c r="CQ199" s="766"/>
    </row>
    <row r="200" spans="13:95" ht="19.5" x14ac:dyDescent="0.2">
      <c r="M200" s="1074"/>
      <c r="N200" s="1074"/>
      <c r="AA200" s="406">
        <v>8</v>
      </c>
      <c r="AB200" s="406">
        <v>0</v>
      </c>
      <c r="AC200" s="406">
        <v>8</v>
      </c>
      <c r="AD200" s="406">
        <v>0</v>
      </c>
      <c r="AE200" s="406">
        <v>8</v>
      </c>
      <c r="AF200" s="406">
        <v>0</v>
      </c>
      <c r="AG200" s="406">
        <v>8</v>
      </c>
      <c r="AH200" s="406">
        <v>0</v>
      </c>
      <c r="AI200" s="406">
        <v>8</v>
      </c>
      <c r="AJ200" s="406">
        <v>0</v>
      </c>
      <c r="AK200" s="406">
        <v>8</v>
      </c>
      <c r="AL200" s="406">
        <v>0</v>
      </c>
      <c r="CN200" s="399"/>
      <c r="CQ200" s="766"/>
    </row>
    <row r="201" spans="13:95" ht="19.5" x14ac:dyDescent="0.2">
      <c r="M201" s="1074"/>
      <c r="N201" s="1074"/>
      <c r="AA201" s="406">
        <v>9</v>
      </c>
      <c r="AB201" s="406">
        <v>0</v>
      </c>
      <c r="AC201" s="406">
        <v>9</v>
      </c>
      <c r="AD201" s="406">
        <v>0</v>
      </c>
      <c r="AE201" s="406">
        <v>9</v>
      </c>
      <c r="AF201" s="406">
        <v>0</v>
      </c>
      <c r="AG201" s="406">
        <v>9</v>
      </c>
      <c r="AH201" s="406">
        <v>0</v>
      </c>
      <c r="AI201" s="406">
        <v>9</v>
      </c>
      <c r="AJ201" s="406">
        <v>0</v>
      </c>
      <c r="AK201" s="406">
        <v>9</v>
      </c>
      <c r="AL201" s="406">
        <v>0</v>
      </c>
      <c r="CN201" s="399"/>
      <c r="CQ201" s="766"/>
    </row>
    <row r="202" spans="13:95" ht="19.5" x14ac:dyDescent="0.2">
      <c r="M202" s="1074"/>
      <c r="N202" s="1074"/>
      <c r="AA202" s="406">
        <v>10</v>
      </c>
      <c r="AB202" s="406">
        <v>0</v>
      </c>
      <c r="AC202" s="406">
        <v>10</v>
      </c>
      <c r="AD202" s="406">
        <v>0</v>
      </c>
      <c r="AE202" s="406">
        <v>10</v>
      </c>
      <c r="AF202" s="406">
        <v>0</v>
      </c>
      <c r="AG202" s="406">
        <v>10</v>
      </c>
      <c r="AH202" s="406">
        <v>0</v>
      </c>
      <c r="AI202" s="406">
        <v>10</v>
      </c>
      <c r="AJ202" s="406">
        <v>0</v>
      </c>
      <c r="AK202" s="406">
        <v>10</v>
      </c>
      <c r="AL202" s="406">
        <v>0</v>
      </c>
      <c r="CN202" s="399"/>
      <c r="CQ202" s="766"/>
    </row>
    <row r="203" spans="13:95" ht="19.5" x14ac:dyDescent="0.2">
      <c r="M203" s="1074"/>
      <c r="N203" s="1074"/>
      <c r="AA203" s="406">
        <v>11</v>
      </c>
      <c r="AB203" s="406">
        <v>0</v>
      </c>
      <c r="AC203" s="406">
        <v>11</v>
      </c>
      <c r="AD203" s="406">
        <v>0</v>
      </c>
      <c r="AE203" s="406">
        <v>11</v>
      </c>
      <c r="AF203" s="406">
        <v>0</v>
      </c>
      <c r="AG203" s="406">
        <v>11</v>
      </c>
      <c r="AH203" s="406">
        <v>0</v>
      </c>
      <c r="AI203" s="406">
        <v>11</v>
      </c>
      <c r="AJ203" s="406">
        <v>0</v>
      </c>
      <c r="AK203" s="406">
        <v>11</v>
      </c>
      <c r="AL203" s="406">
        <v>0</v>
      </c>
      <c r="CN203" s="399"/>
      <c r="CQ203" s="766"/>
    </row>
    <row r="204" spans="13:95" ht="19.5" x14ac:dyDescent="0.2">
      <c r="M204" s="1074"/>
      <c r="N204" s="1074"/>
      <c r="AA204" s="406">
        <v>12</v>
      </c>
      <c r="AB204" s="406">
        <v>0</v>
      </c>
      <c r="AC204" s="406">
        <v>12</v>
      </c>
      <c r="AD204" s="406">
        <v>0</v>
      </c>
      <c r="AE204" s="406">
        <v>12</v>
      </c>
      <c r="AF204" s="406">
        <v>0</v>
      </c>
      <c r="AG204" s="406">
        <v>12</v>
      </c>
      <c r="AH204" s="406">
        <v>0</v>
      </c>
      <c r="AI204" s="406">
        <v>12</v>
      </c>
      <c r="AJ204" s="406">
        <v>0</v>
      </c>
      <c r="AK204" s="406">
        <v>12</v>
      </c>
      <c r="AL204" s="406">
        <v>0</v>
      </c>
      <c r="CN204" s="399"/>
      <c r="CQ204" s="766"/>
    </row>
    <row r="205" spans="13:95" ht="19.5" x14ac:dyDescent="0.2">
      <c r="M205" s="1074"/>
      <c r="N205" s="1074"/>
      <c r="AA205" s="406">
        <v>13</v>
      </c>
      <c r="AB205" s="406">
        <v>0</v>
      </c>
      <c r="AC205" s="406">
        <v>13</v>
      </c>
      <c r="AD205" s="406">
        <v>0</v>
      </c>
      <c r="AE205" s="406">
        <v>13</v>
      </c>
      <c r="AF205" s="406">
        <v>0</v>
      </c>
      <c r="AG205" s="406">
        <v>13</v>
      </c>
      <c r="AH205" s="406">
        <v>0</v>
      </c>
      <c r="AI205" s="406">
        <v>13</v>
      </c>
      <c r="AJ205" s="406">
        <v>0</v>
      </c>
      <c r="AK205" s="406">
        <v>13</v>
      </c>
      <c r="AL205" s="406">
        <v>0</v>
      </c>
      <c r="CN205" s="399"/>
      <c r="CQ205" s="766"/>
    </row>
    <row r="206" spans="13:95" x14ac:dyDescent="0.2">
      <c r="AA206" s="406">
        <v>14</v>
      </c>
      <c r="AB206" s="406">
        <v>0</v>
      </c>
      <c r="AC206" s="406">
        <v>14</v>
      </c>
      <c r="AD206" s="406">
        <v>0</v>
      </c>
      <c r="AE206" s="406">
        <v>14</v>
      </c>
      <c r="AF206" s="406">
        <v>0</v>
      </c>
      <c r="AG206" s="406">
        <v>14</v>
      </c>
      <c r="AH206" s="406">
        <v>0</v>
      </c>
      <c r="AI206" s="406">
        <v>14</v>
      </c>
      <c r="AJ206" s="406">
        <v>0</v>
      </c>
      <c r="AK206" s="406">
        <v>14</v>
      </c>
      <c r="AL206" s="406">
        <v>0</v>
      </c>
      <c r="CN206" s="399"/>
      <c r="CQ206" s="766"/>
    </row>
    <row r="207" spans="13:95" x14ac:dyDescent="0.2">
      <c r="AA207" s="406">
        <v>15</v>
      </c>
      <c r="AB207" s="406">
        <v>0</v>
      </c>
      <c r="AC207" s="406">
        <v>15</v>
      </c>
      <c r="AD207" s="406">
        <v>0</v>
      </c>
      <c r="AE207" s="406">
        <v>15</v>
      </c>
      <c r="AF207" s="406">
        <v>0</v>
      </c>
      <c r="AG207" s="406">
        <v>15</v>
      </c>
      <c r="AH207" s="406">
        <v>0</v>
      </c>
      <c r="AI207" s="406">
        <v>15</v>
      </c>
      <c r="AJ207" s="406">
        <v>0</v>
      </c>
      <c r="AK207" s="406">
        <v>15</v>
      </c>
      <c r="AL207" s="406">
        <v>0</v>
      </c>
      <c r="CN207" s="399"/>
      <c r="CQ207" s="766"/>
    </row>
    <row r="208" spans="13:95" x14ac:dyDescent="0.2">
      <c r="AA208" s="406">
        <v>16</v>
      </c>
      <c r="AB208" s="406">
        <v>0</v>
      </c>
      <c r="AC208" s="406">
        <v>16</v>
      </c>
      <c r="AD208" s="406">
        <v>0</v>
      </c>
      <c r="AE208" s="406">
        <v>16</v>
      </c>
      <c r="AF208" s="406">
        <v>0</v>
      </c>
      <c r="AG208" s="406">
        <v>16</v>
      </c>
      <c r="AH208" s="406">
        <v>0</v>
      </c>
      <c r="AI208" s="406">
        <v>16</v>
      </c>
      <c r="AJ208" s="406">
        <v>0</v>
      </c>
      <c r="AK208" s="406">
        <v>16</v>
      </c>
      <c r="AL208" s="406">
        <v>0</v>
      </c>
      <c r="CN208" s="399"/>
      <c r="CQ208" s="766"/>
    </row>
    <row r="209" spans="27:95" x14ac:dyDescent="0.2">
      <c r="AA209" s="406">
        <v>17</v>
      </c>
      <c r="AB209" s="406">
        <v>0</v>
      </c>
      <c r="AC209" s="406">
        <v>17</v>
      </c>
      <c r="AD209" s="406">
        <v>0</v>
      </c>
      <c r="AE209" s="406">
        <v>17</v>
      </c>
      <c r="AF209" s="406">
        <v>0</v>
      </c>
      <c r="AG209" s="406">
        <v>17</v>
      </c>
      <c r="AH209" s="406">
        <v>0</v>
      </c>
      <c r="AI209" s="406">
        <v>17</v>
      </c>
      <c r="AJ209" s="406">
        <v>0</v>
      </c>
      <c r="AK209" s="406">
        <v>17</v>
      </c>
      <c r="AL209" s="406">
        <v>0</v>
      </c>
      <c r="CN209" s="399"/>
      <c r="CQ209" s="766"/>
    </row>
    <row r="210" spans="27:95" x14ac:dyDescent="0.2">
      <c r="AA210" s="406">
        <v>18</v>
      </c>
      <c r="AB210" s="406">
        <v>0</v>
      </c>
      <c r="AC210" s="406">
        <v>18</v>
      </c>
      <c r="AD210" s="406">
        <v>0</v>
      </c>
      <c r="AE210" s="406">
        <v>18</v>
      </c>
      <c r="AF210" s="406">
        <v>0</v>
      </c>
      <c r="AG210" s="406">
        <v>18</v>
      </c>
      <c r="AH210" s="406">
        <v>0</v>
      </c>
      <c r="AI210" s="406">
        <v>18</v>
      </c>
      <c r="AJ210" s="406">
        <v>0</v>
      </c>
      <c r="AK210" s="406">
        <v>18</v>
      </c>
      <c r="AL210" s="406">
        <v>0</v>
      </c>
      <c r="CN210" s="399"/>
      <c r="CQ210" s="766"/>
    </row>
    <row r="211" spans="27:95" x14ac:dyDescent="0.2">
      <c r="AA211" s="406">
        <v>19</v>
      </c>
      <c r="AB211" s="406">
        <v>0</v>
      </c>
      <c r="AC211" s="406">
        <v>19</v>
      </c>
      <c r="AD211" s="406">
        <v>0</v>
      </c>
      <c r="AE211" s="406">
        <v>19</v>
      </c>
      <c r="AF211" s="406">
        <v>0</v>
      </c>
      <c r="AG211" s="406">
        <v>19</v>
      </c>
      <c r="AH211" s="406">
        <v>0</v>
      </c>
      <c r="AI211" s="406">
        <v>19</v>
      </c>
      <c r="AJ211" s="406">
        <v>0</v>
      </c>
      <c r="AK211" s="406">
        <v>19</v>
      </c>
      <c r="AL211" s="406">
        <v>0</v>
      </c>
      <c r="CN211" s="399"/>
      <c r="CQ211" s="766"/>
    </row>
    <row r="212" spans="27:95" x14ac:dyDescent="0.2">
      <c r="AA212" s="406">
        <v>20</v>
      </c>
      <c r="AB212" s="406">
        <v>0</v>
      </c>
      <c r="AC212" s="406">
        <v>20</v>
      </c>
      <c r="AD212" s="406">
        <v>0</v>
      </c>
      <c r="AE212" s="406">
        <v>20</v>
      </c>
      <c r="AF212" s="406">
        <v>0</v>
      </c>
      <c r="AG212" s="406">
        <v>20</v>
      </c>
      <c r="AH212" s="406">
        <v>0</v>
      </c>
      <c r="AI212" s="406">
        <v>20</v>
      </c>
      <c r="AJ212" s="406">
        <v>0</v>
      </c>
      <c r="AK212" s="406">
        <v>20</v>
      </c>
      <c r="AL212" s="406">
        <v>0</v>
      </c>
      <c r="CN212" s="399"/>
      <c r="CQ212" s="766"/>
    </row>
    <row r="213" spans="27:95" x14ac:dyDescent="0.2">
      <c r="AA213" s="406">
        <v>21</v>
      </c>
      <c r="AB213" s="406">
        <v>0</v>
      </c>
      <c r="AC213" s="406">
        <v>21</v>
      </c>
      <c r="AD213" s="406">
        <v>0</v>
      </c>
      <c r="AE213" s="406">
        <v>21</v>
      </c>
      <c r="AF213" s="406">
        <v>0</v>
      </c>
      <c r="AG213" s="406">
        <v>21</v>
      </c>
      <c r="AH213" s="406">
        <v>0</v>
      </c>
      <c r="AI213" s="406">
        <v>21</v>
      </c>
      <c r="AJ213" s="406">
        <v>0</v>
      </c>
      <c r="AK213" s="406">
        <v>21</v>
      </c>
      <c r="AL213" s="406">
        <v>0</v>
      </c>
      <c r="CN213" s="399"/>
      <c r="CQ213" s="766"/>
    </row>
    <row r="214" spans="27:95" x14ac:dyDescent="0.2">
      <c r="AA214" s="406">
        <v>22</v>
      </c>
      <c r="AB214" s="406">
        <v>0</v>
      </c>
      <c r="AC214" s="406">
        <v>22</v>
      </c>
      <c r="AD214" s="406">
        <v>0</v>
      </c>
      <c r="AE214" s="406">
        <v>22</v>
      </c>
      <c r="AF214" s="406">
        <v>0</v>
      </c>
      <c r="AG214" s="406">
        <v>22</v>
      </c>
      <c r="AH214" s="406">
        <v>0</v>
      </c>
      <c r="AI214" s="406">
        <v>22</v>
      </c>
      <c r="AJ214" s="406">
        <v>0</v>
      </c>
      <c r="AK214" s="406">
        <v>22</v>
      </c>
      <c r="AL214" s="406">
        <v>0</v>
      </c>
      <c r="CN214" s="399"/>
      <c r="CQ214" s="766"/>
    </row>
    <row r="215" spans="27:95" x14ac:dyDescent="0.2">
      <c r="AA215" s="406">
        <v>23</v>
      </c>
      <c r="AB215" s="406">
        <v>0</v>
      </c>
      <c r="AC215" s="406">
        <v>23</v>
      </c>
      <c r="AD215" s="406">
        <v>0</v>
      </c>
      <c r="AE215" s="406">
        <v>23</v>
      </c>
      <c r="AF215" s="406">
        <v>0</v>
      </c>
      <c r="AG215" s="406">
        <v>23</v>
      </c>
      <c r="AH215" s="406">
        <v>0</v>
      </c>
      <c r="AI215" s="406">
        <v>23</v>
      </c>
      <c r="AJ215" s="406">
        <v>0</v>
      </c>
      <c r="AK215" s="406">
        <v>23</v>
      </c>
      <c r="AL215" s="406">
        <v>0</v>
      </c>
      <c r="CN215" s="399"/>
      <c r="CQ215" s="766"/>
    </row>
    <row r="216" spans="27:95" x14ac:dyDescent="0.2">
      <c r="AA216" s="406">
        <v>24</v>
      </c>
      <c r="AB216" s="406">
        <v>0</v>
      </c>
      <c r="AC216" s="406">
        <v>24</v>
      </c>
      <c r="AD216" s="406">
        <v>0</v>
      </c>
      <c r="AE216" s="406">
        <v>24</v>
      </c>
      <c r="AF216" s="406">
        <v>0</v>
      </c>
      <c r="AG216" s="406">
        <v>24</v>
      </c>
      <c r="AH216" s="406">
        <v>0</v>
      </c>
      <c r="AI216" s="406">
        <v>24</v>
      </c>
      <c r="AJ216" s="406">
        <v>0</v>
      </c>
      <c r="AK216" s="406">
        <v>24</v>
      </c>
      <c r="AL216" s="406">
        <v>0</v>
      </c>
      <c r="CN216" s="399"/>
      <c r="CQ216" s="766"/>
    </row>
    <row r="217" spans="27:95" x14ac:dyDescent="0.2">
      <c r="AA217" s="406">
        <v>25</v>
      </c>
      <c r="AB217" s="406">
        <v>0</v>
      </c>
      <c r="AC217" s="406">
        <v>25</v>
      </c>
      <c r="AD217" s="406">
        <v>0</v>
      </c>
      <c r="AE217" s="406">
        <v>25</v>
      </c>
      <c r="AF217" s="406">
        <v>0</v>
      </c>
      <c r="AG217" s="406">
        <v>25</v>
      </c>
      <c r="AH217" s="406">
        <v>0</v>
      </c>
      <c r="AI217" s="406">
        <v>25</v>
      </c>
      <c r="AJ217" s="406">
        <v>0</v>
      </c>
      <c r="AK217" s="406">
        <v>25</v>
      </c>
      <c r="AL217" s="406">
        <v>0</v>
      </c>
      <c r="CN217" s="399"/>
      <c r="CQ217" s="766"/>
    </row>
    <row r="218" spans="27:95" x14ac:dyDescent="0.2">
      <c r="AA218" s="406">
        <v>26</v>
      </c>
      <c r="AB218" s="406">
        <v>0</v>
      </c>
      <c r="AC218" s="406">
        <v>26</v>
      </c>
      <c r="AD218" s="406">
        <v>0</v>
      </c>
      <c r="AE218" s="406">
        <v>26</v>
      </c>
      <c r="AF218" s="406">
        <v>0</v>
      </c>
      <c r="AG218" s="406">
        <v>26</v>
      </c>
      <c r="AH218" s="406">
        <v>0</v>
      </c>
      <c r="AI218" s="406">
        <v>26</v>
      </c>
      <c r="AJ218" s="406">
        <v>0</v>
      </c>
      <c r="AK218" s="406">
        <v>26</v>
      </c>
      <c r="AL218" s="406">
        <v>0</v>
      </c>
      <c r="CN218" s="399"/>
      <c r="CQ218" s="766"/>
    </row>
    <row r="219" spans="27:95" x14ac:dyDescent="0.2">
      <c r="AA219" s="406">
        <v>27</v>
      </c>
      <c r="AB219" s="406">
        <v>0</v>
      </c>
      <c r="AC219" s="406">
        <v>27</v>
      </c>
      <c r="AD219" s="406">
        <v>0</v>
      </c>
      <c r="AE219" s="406">
        <v>27</v>
      </c>
      <c r="AF219" s="406">
        <v>0</v>
      </c>
      <c r="AG219" s="406">
        <v>27</v>
      </c>
      <c r="AH219" s="406">
        <v>0</v>
      </c>
      <c r="AI219" s="406">
        <v>27</v>
      </c>
      <c r="AJ219" s="406">
        <v>0</v>
      </c>
      <c r="AK219" s="406">
        <v>27</v>
      </c>
      <c r="AL219" s="406">
        <v>0</v>
      </c>
      <c r="CN219" s="399"/>
      <c r="CQ219" s="766"/>
    </row>
    <row r="220" spans="27:95" x14ac:dyDescent="0.2">
      <c r="AA220" s="406">
        <v>28</v>
      </c>
      <c r="AB220" s="406">
        <v>0</v>
      </c>
      <c r="AC220" s="406">
        <v>28</v>
      </c>
      <c r="AD220" s="406">
        <v>0</v>
      </c>
      <c r="AE220" s="406">
        <v>28</v>
      </c>
      <c r="AF220" s="406">
        <v>0</v>
      </c>
      <c r="AG220" s="406">
        <v>28</v>
      </c>
      <c r="AH220" s="406">
        <v>0</v>
      </c>
      <c r="AI220" s="406">
        <v>28</v>
      </c>
      <c r="AJ220" s="406">
        <v>0</v>
      </c>
      <c r="AK220" s="406">
        <v>28</v>
      </c>
      <c r="AL220" s="406">
        <v>0</v>
      </c>
      <c r="CN220" s="399"/>
      <c r="CQ220" s="766"/>
    </row>
    <row r="221" spans="27:95" x14ac:dyDescent="0.2">
      <c r="AA221" s="406">
        <v>29</v>
      </c>
      <c r="AB221" s="406">
        <v>0</v>
      </c>
      <c r="AC221" s="406">
        <v>29</v>
      </c>
      <c r="AD221" s="406">
        <v>0</v>
      </c>
      <c r="AE221" s="406">
        <v>29</v>
      </c>
      <c r="AF221" s="406">
        <v>0</v>
      </c>
      <c r="AG221" s="406">
        <v>29</v>
      </c>
      <c r="AH221" s="406">
        <v>0</v>
      </c>
      <c r="AI221" s="406">
        <v>29</v>
      </c>
      <c r="AJ221" s="406">
        <v>0</v>
      </c>
      <c r="AK221" s="406">
        <v>29</v>
      </c>
      <c r="AL221" s="406">
        <v>0</v>
      </c>
      <c r="CN221" s="399"/>
      <c r="CQ221" s="766"/>
    </row>
    <row r="222" spans="27:95" x14ac:dyDescent="0.2">
      <c r="AA222" s="406">
        <v>30</v>
      </c>
      <c r="AB222" s="406">
        <v>0</v>
      </c>
      <c r="AC222" s="406">
        <v>30</v>
      </c>
      <c r="AD222" s="406">
        <v>0</v>
      </c>
      <c r="AE222" s="406">
        <v>30</v>
      </c>
      <c r="AF222" s="406">
        <v>0</v>
      </c>
      <c r="AG222" s="406">
        <v>30</v>
      </c>
      <c r="AH222" s="406">
        <v>0</v>
      </c>
      <c r="AI222" s="406">
        <v>30</v>
      </c>
      <c r="AJ222" s="406">
        <v>0</v>
      </c>
      <c r="AK222" s="406">
        <v>30</v>
      </c>
      <c r="AL222" s="406">
        <v>0</v>
      </c>
      <c r="CN222" s="399"/>
      <c r="CQ222" s="766"/>
    </row>
    <row r="223" spans="27:95" x14ac:dyDescent="0.2">
      <c r="AA223" s="406">
        <v>31</v>
      </c>
      <c r="AB223" s="406">
        <v>0</v>
      </c>
      <c r="AC223" s="406">
        <v>31</v>
      </c>
      <c r="AD223" s="406">
        <v>0</v>
      </c>
      <c r="AE223" s="406">
        <v>31</v>
      </c>
      <c r="AF223" s="406">
        <v>0</v>
      </c>
      <c r="AG223" s="406">
        <v>31</v>
      </c>
      <c r="AH223" s="406">
        <v>0</v>
      </c>
      <c r="AI223" s="406">
        <v>31</v>
      </c>
      <c r="AJ223" s="406">
        <v>0</v>
      </c>
      <c r="AK223" s="406">
        <v>31</v>
      </c>
      <c r="AL223" s="406">
        <v>0</v>
      </c>
      <c r="CN223" s="399"/>
      <c r="CQ223" s="766"/>
    </row>
    <row r="224" spans="27:95" x14ac:dyDescent="0.2">
      <c r="AA224" s="406">
        <v>32</v>
      </c>
      <c r="AB224" s="406">
        <v>0</v>
      </c>
      <c r="AC224" s="406">
        <v>32</v>
      </c>
      <c r="AD224" s="406">
        <v>0</v>
      </c>
      <c r="AE224" s="406">
        <v>32</v>
      </c>
      <c r="AF224" s="406">
        <v>0</v>
      </c>
      <c r="AG224" s="406">
        <v>32</v>
      </c>
      <c r="AH224" s="406">
        <v>0</v>
      </c>
      <c r="AI224" s="406">
        <v>32</v>
      </c>
      <c r="AJ224" s="406">
        <v>0</v>
      </c>
      <c r="AK224" s="406">
        <v>32</v>
      </c>
      <c r="AL224" s="406">
        <v>0</v>
      </c>
      <c r="CN224" s="399"/>
      <c r="CQ224" s="766"/>
    </row>
    <row r="225" spans="27:95" x14ac:dyDescent="0.2">
      <c r="AA225" s="406">
        <v>33</v>
      </c>
      <c r="AB225" s="406">
        <v>0</v>
      </c>
      <c r="AC225" s="406">
        <v>33</v>
      </c>
      <c r="AD225" s="406">
        <v>0</v>
      </c>
      <c r="AE225" s="406">
        <v>33</v>
      </c>
      <c r="AF225" s="406">
        <v>0</v>
      </c>
      <c r="AG225" s="406">
        <v>33</v>
      </c>
      <c r="AH225" s="406">
        <v>0</v>
      </c>
      <c r="AI225" s="406">
        <v>33</v>
      </c>
      <c r="AJ225" s="406">
        <v>0</v>
      </c>
      <c r="AK225" s="406">
        <v>33</v>
      </c>
      <c r="AL225" s="406">
        <v>0</v>
      </c>
      <c r="CN225" s="399"/>
      <c r="CQ225" s="766"/>
    </row>
    <row r="226" spans="27:95" x14ac:dyDescent="0.2">
      <c r="AA226" s="406">
        <v>34</v>
      </c>
      <c r="AB226" s="406">
        <v>0</v>
      </c>
      <c r="AC226" s="406">
        <v>34</v>
      </c>
      <c r="AD226" s="406">
        <v>0</v>
      </c>
      <c r="AE226" s="406">
        <v>34</v>
      </c>
      <c r="AF226" s="406">
        <v>0</v>
      </c>
      <c r="AG226" s="406">
        <v>34</v>
      </c>
      <c r="AH226" s="406">
        <v>0</v>
      </c>
      <c r="AI226" s="406">
        <v>34</v>
      </c>
      <c r="AJ226" s="406">
        <v>0</v>
      </c>
      <c r="AK226" s="406">
        <v>34</v>
      </c>
      <c r="AL226" s="406">
        <v>0</v>
      </c>
      <c r="CN226" s="399"/>
      <c r="CQ226" s="766"/>
    </row>
    <row r="227" spans="27:95" x14ac:dyDescent="0.2">
      <c r="AA227" s="406">
        <v>35</v>
      </c>
      <c r="AB227" s="406">
        <v>0</v>
      </c>
      <c r="AC227" s="406">
        <v>35</v>
      </c>
      <c r="AD227" s="406">
        <v>0</v>
      </c>
      <c r="AE227" s="406">
        <v>35</v>
      </c>
      <c r="AF227" s="406">
        <v>0</v>
      </c>
      <c r="AG227" s="406">
        <v>35</v>
      </c>
      <c r="AH227" s="406">
        <v>0</v>
      </c>
      <c r="AI227" s="406">
        <v>35</v>
      </c>
      <c r="AJ227" s="406">
        <v>0</v>
      </c>
      <c r="AK227" s="406">
        <v>35</v>
      </c>
      <c r="AL227" s="406">
        <v>0</v>
      </c>
      <c r="CN227" s="399"/>
      <c r="CQ227" s="766"/>
    </row>
    <row r="228" spans="27:95" x14ac:dyDescent="0.2">
      <c r="AA228" s="406">
        <v>36</v>
      </c>
      <c r="AB228" s="406">
        <v>0</v>
      </c>
      <c r="AC228" s="406">
        <v>36</v>
      </c>
      <c r="AD228" s="406">
        <v>0</v>
      </c>
      <c r="AE228" s="406">
        <v>36</v>
      </c>
      <c r="AF228" s="406">
        <v>0</v>
      </c>
      <c r="AG228" s="406">
        <v>36</v>
      </c>
      <c r="AH228" s="406">
        <v>0</v>
      </c>
      <c r="AI228" s="406">
        <v>36</v>
      </c>
      <c r="AJ228" s="406">
        <v>0</v>
      </c>
      <c r="AK228" s="406">
        <v>36</v>
      </c>
      <c r="AL228" s="406">
        <v>0</v>
      </c>
      <c r="CN228" s="399"/>
      <c r="CQ228" s="766"/>
    </row>
    <row r="229" spans="27:95" x14ac:dyDescent="0.2">
      <c r="AA229" s="406">
        <v>37</v>
      </c>
      <c r="AB229" s="406">
        <v>0</v>
      </c>
      <c r="AC229" s="406">
        <v>37</v>
      </c>
      <c r="AD229" s="406">
        <v>0</v>
      </c>
      <c r="AE229" s="406">
        <v>37</v>
      </c>
      <c r="AF229" s="406">
        <v>0</v>
      </c>
      <c r="AG229" s="406">
        <v>37</v>
      </c>
      <c r="AH229" s="406">
        <v>0</v>
      </c>
      <c r="AI229" s="406">
        <v>37</v>
      </c>
      <c r="AJ229" s="406">
        <v>0</v>
      </c>
      <c r="AK229" s="406">
        <v>37</v>
      </c>
      <c r="AL229" s="406">
        <v>0</v>
      </c>
      <c r="CN229" s="399"/>
      <c r="CQ229" s="766"/>
    </row>
    <row r="230" spans="27:95" x14ac:dyDescent="0.2">
      <c r="AA230" s="406">
        <v>38</v>
      </c>
      <c r="AB230" s="406">
        <v>0</v>
      </c>
      <c r="AC230" s="406">
        <v>38</v>
      </c>
      <c r="AD230" s="406">
        <v>0</v>
      </c>
      <c r="AE230" s="406">
        <v>38</v>
      </c>
      <c r="AF230" s="406">
        <v>0</v>
      </c>
      <c r="AG230" s="406">
        <v>38</v>
      </c>
      <c r="AH230" s="406">
        <v>0</v>
      </c>
      <c r="AI230" s="406">
        <v>38</v>
      </c>
      <c r="AJ230" s="406">
        <v>0</v>
      </c>
      <c r="AK230" s="406">
        <v>38</v>
      </c>
      <c r="AL230" s="406">
        <v>0</v>
      </c>
      <c r="CN230" s="399"/>
      <c r="CQ230" s="766"/>
    </row>
    <row r="231" spans="27:95" x14ac:dyDescent="0.2">
      <c r="AA231" s="406">
        <v>39</v>
      </c>
      <c r="AB231" s="406">
        <v>0</v>
      </c>
      <c r="AC231" s="406">
        <v>39</v>
      </c>
      <c r="AD231" s="406">
        <v>0</v>
      </c>
      <c r="AE231" s="406">
        <v>39</v>
      </c>
      <c r="AF231" s="406">
        <v>0</v>
      </c>
      <c r="AG231" s="406">
        <v>39</v>
      </c>
      <c r="AH231" s="406">
        <v>0</v>
      </c>
      <c r="AI231" s="406">
        <v>39</v>
      </c>
      <c r="AJ231" s="406">
        <v>0</v>
      </c>
      <c r="AK231" s="406">
        <v>39</v>
      </c>
      <c r="AL231" s="406">
        <v>0</v>
      </c>
      <c r="CN231" s="399"/>
      <c r="CQ231" s="766"/>
    </row>
    <row r="232" spans="27:95" x14ac:dyDescent="0.2">
      <c r="AA232" s="406">
        <v>40</v>
      </c>
      <c r="AB232" s="406">
        <v>0</v>
      </c>
      <c r="AC232" s="406">
        <v>40</v>
      </c>
      <c r="AD232" s="406">
        <v>0</v>
      </c>
      <c r="AE232" s="406">
        <v>40</v>
      </c>
      <c r="AF232" s="406">
        <v>0</v>
      </c>
      <c r="AG232" s="406">
        <v>40</v>
      </c>
      <c r="AH232" s="406">
        <v>0</v>
      </c>
      <c r="AI232" s="406">
        <v>40</v>
      </c>
      <c r="AJ232" s="406">
        <v>0</v>
      </c>
      <c r="AK232" s="406">
        <v>40</v>
      </c>
      <c r="AL232" s="406">
        <v>0</v>
      </c>
      <c r="CN232" s="399"/>
      <c r="CQ232" s="766"/>
    </row>
    <row r="233" spans="27:95" x14ac:dyDescent="0.2">
      <c r="AA233" s="406">
        <v>41</v>
      </c>
      <c r="AB233" s="406">
        <v>0</v>
      </c>
      <c r="AC233" s="406">
        <v>41</v>
      </c>
      <c r="AD233" s="406">
        <v>0</v>
      </c>
      <c r="AE233" s="406">
        <v>41</v>
      </c>
      <c r="AF233" s="406">
        <v>0</v>
      </c>
      <c r="AG233" s="406">
        <v>41</v>
      </c>
      <c r="AH233" s="406">
        <v>0</v>
      </c>
      <c r="AI233" s="406">
        <v>41</v>
      </c>
      <c r="AJ233" s="406">
        <v>0</v>
      </c>
      <c r="AK233" s="406">
        <v>41</v>
      </c>
      <c r="AL233" s="406">
        <v>0</v>
      </c>
      <c r="CN233" s="399"/>
      <c r="CQ233" s="766"/>
    </row>
    <row r="234" spans="27:95" x14ac:dyDescent="0.2">
      <c r="AA234" s="406">
        <v>42</v>
      </c>
      <c r="AB234" s="406">
        <v>0</v>
      </c>
      <c r="AC234" s="406">
        <v>42</v>
      </c>
      <c r="AD234" s="406">
        <v>0</v>
      </c>
      <c r="AE234" s="406">
        <v>42</v>
      </c>
      <c r="AF234" s="406">
        <v>0</v>
      </c>
      <c r="AG234" s="406">
        <v>42</v>
      </c>
      <c r="AH234" s="406">
        <v>0</v>
      </c>
      <c r="AI234" s="406">
        <v>42</v>
      </c>
      <c r="AJ234" s="406">
        <v>0</v>
      </c>
      <c r="AK234" s="406">
        <v>42</v>
      </c>
      <c r="AL234" s="406">
        <v>0</v>
      </c>
      <c r="CN234" s="399"/>
      <c r="CQ234" s="766"/>
    </row>
    <row r="235" spans="27:95" x14ac:dyDescent="0.2">
      <c r="CN235" s="399"/>
      <c r="CQ235" s="766"/>
    </row>
    <row r="236" spans="27:95" x14ac:dyDescent="0.2">
      <c r="CN236" s="399"/>
      <c r="CQ236" s="766"/>
    </row>
    <row r="237" spans="27:95" x14ac:dyDescent="0.2">
      <c r="CN237" s="399"/>
      <c r="CQ237" s="766"/>
    </row>
    <row r="238" spans="27:95" x14ac:dyDescent="0.2">
      <c r="CN238" s="399"/>
      <c r="CQ238" s="766"/>
    </row>
    <row r="239" spans="27:95" x14ac:dyDescent="0.2">
      <c r="CN239" s="399"/>
      <c r="CQ239" s="766"/>
    </row>
    <row r="240" spans="27:95" x14ac:dyDescent="0.2">
      <c r="CN240" s="399"/>
      <c r="CQ240" s="766"/>
    </row>
    <row r="241" spans="92:95" x14ac:dyDescent="0.2">
      <c r="CN241" s="399"/>
      <c r="CQ241" s="766"/>
    </row>
    <row r="242" spans="92:95" x14ac:dyDescent="0.2">
      <c r="CN242" s="399"/>
      <c r="CQ242" s="766"/>
    </row>
    <row r="243" spans="92:95" x14ac:dyDescent="0.2">
      <c r="CN243" s="399"/>
      <c r="CQ243" s="766"/>
    </row>
    <row r="244" spans="92:95" x14ac:dyDescent="0.2">
      <c r="CN244" s="399"/>
      <c r="CQ244" s="766"/>
    </row>
    <row r="245" spans="92:95" x14ac:dyDescent="0.2">
      <c r="CN245" s="399"/>
      <c r="CQ245" s="766"/>
    </row>
    <row r="246" spans="92:95" x14ac:dyDescent="0.2">
      <c r="CN246" s="399"/>
      <c r="CQ246" s="766"/>
    </row>
    <row r="247" spans="92:95" x14ac:dyDescent="0.2">
      <c r="CN247" s="399"/>
      <c r="CQ247" s="766"/>
    </row>
    <row r="248" spans="92:95" x14ac:dyDescent="0.2">
      <c r="CN248" s="399"/>
      <c r="CQ248" s="766"/>
    </row>
    <row r="249" spans="92:95" x14ac:dyDescent="0.2">
      <c r="CN249" s="399"/>
      <c r="CQ249" s="766"/>
    </row>
    <row r="250" spans="92:95" x14ac:dyDescent="0.2">
      <c r="CN250" s="399"/>
      <c r="CQ250" s="766"/>
    </row>
    <row r="251" spans="92:95" x14ac:dyDescent="0.2">
      <c r="CN251" s="399"/>
      <c r="CQ251" s="766"/>
    </row>
    <row r="252" spans="92:95" x14ac:dyDescent="0.2">
      <c r="CN252" s="399"/>
      <c r="CQ252" s="766"/>
    </row>
    <row r="253" spans="92:95" x14ac:dyDescent="0.2">
      <c r="CN253" s="399"/>
      <c r="CQ253" s="766"/>
    </row>
    <row r="254" spans="92:95" x14ac:dyDescent="0.2">
      <c r="CN254" s="399"/>
      <c r="CQ254" s="766"/>
    </row>
    <row r="255" spans="92:95" x14ac:dyDescent="0.2">
      <c r="CN255" s="399"/>
      <c r="CQ255" s="766"/>
    </row>
    <row r="256" spans="92:95" x14ac:dyDescent="0.2">
      <c r="CN256" s="399"/>
      <c r="CQ256" s="766"/>
    </row>
    <row r="257" spans="92:95" x14ac:dyDescent="0.2">
      <c r="CN257" s="399"/>
      <c r="CQ257" s="766"/>
    </row>
    <row r="258" spans="92:95" x14ac:dyDescent="0.2">
      <c r="CN258" s="399"/>
      <c r="CQ258" s="766"/>
    </row>
    <row r="259" spans="92:95" x14ac:dyDescent="0.2">
      <c r="CN259" s="399"/>
      <c r="CQ259" s="766"/>
    </row>
    <row r="260" spans="92:95" x14ac:dyDescent="0.2">
      <c r="CN260" s="399"/>
      <c r="CQ260" s="766"/>
    </row>
    <row r="261" spans="92:95" x14ac:dyDescent="0.2">
      <c r="CN261" s="399"/>
      <c r="CQ261" s="766"/>
    </row>
    <row r="262" spans="92:95" x14ac:dyDescent="0.2">
      <c r="CN262" s="399"/>
      <c r="CQ262" s="766"/>
    </row>
    <row r="263" spans="92:95" x14ac:dyDescent="0.2">
      <c r="CN263" s="399"/>
      <c r="CQ263" s="766"/>
    </row>
    <row r="264" spans="92:95" x14ac:dyDescent="0.2">
      <c r="CN264" s="399"/>
      <c r="CQ264" s="766"/>
    </row>
    <row r="265" spans="92:95" x14ac:dyDescent="0.2">
      <c r="CN265" s="399"/>
      <c r="CQ265" s="766"/>
    </row>
    <row r="266" spans="92:95" x14ac:dyDescent="0.2">
      <c r="CN266" s="399"/>
      <c r="CQ266" s="766"/>
    </row>
    <row r="267" spans="92:95" x14ac:dyDescent="0.2">
      <c r="CN267" s="399"/>
      <c r="CQ267" s="766"/>
    </row>
    <row r="268" spans="92:95" x14ac:dyDescent="0.2">
      <c r="CN268" s="399"/>
      <c r="CQ268" s="766"/>
    </row>
    <row r="269" spans="92:95" x14ac:dyDescent="0.2">
      <c r="CN269" s="399"/>
      <c r="CQ269" s="766"/>
    </row>
    <row r="270" spans="92:95" x14ac:dyDescent="0.2">
      <c r="CN270" s="399"/>
      <c r="CQ270" s="766"/>
    </row>
    <row r="271" spans="92:95" x14ac:dyDescent="0.2">
      <c r="CN271" s="399"/>
      <c r="CQ271" s="766"/>
    </row>
    <row r="272" spans="92:95" x14ac:dyDescent="0.2">
      <c r="CN272" s="399"/>
      <c r="CQ272" s="766"/>
    </row>
    <row r="273" spans="92:95" x14ac:dyDescent="0.2">
      <c r="CN273" s="399"/>
      <c r="CQ273" s="766"/>
    </row>
    <row r="274" spans="92:95" x14ac:dyDescent="0.2">
      <c r="CN274" s="399"/>
      <c r="CQ274" s="766"/>
    </row>
    <row r="275" spans="92:95" x14ac:dyDescent="0.2">
      <c r="CN275" s="399"/>
      <c r="CQ275" s="766"/>
    </row>
    <row r="276" spans="92:95" x14ac:dyDescent="0.2">
      <c r="CN276" s="399"/>
      <c r="CQ276" s="766"/>
    </row>
    <row r="277" spans="92:95" x14ac:dyDescent="0.2">
      <c r="CN277" s="399"/>
      <c r="CQ277" s="766"/>
    </row>
    <row r="278" spans="92:95" x14ac:dyDescent="0.2">
      <c r="CN278" s="399"/>
      <c r="CQ278" s="766"/>
    </row>
    <row r="279" spans="92:95" x14ac:dyDescent="0.2">
      <c r="CN279" s="399"/>
      <c r="CQ279" s="766"/>
    </row>
    <row r="280" spans="92:95" x14ac:dyDescent="0.2">
      <c r="CN280" s="399"/>
      <c r="CQ280" s="766"/>
    </row>
    <row r="281" spans="92:95" x14ac:dyDescent="0.2">
      <c r="CN281" s="399"/>
      <c r="CQ281" s="766"/>
    </row>
    <row r="282" spans="92:95" x14ac:dyDescent="0.2">
      <c r="CN282" s="399"/>
      <c r="CQ282" s="766"/>
    </row>
    <row r="283" spans="92:95" x14ac:dyDescent="0.2">
      <c r="CN283" s="399"/>
      <c r="CQ283" s="766"/>
    </row>
    <row r="284" spans="92:95" x14ac:dyDescent="0.2">
      <c r="CN284" s="399"/>
      <c r="CQ284" s="766"/>
    </row>
    <row r="285" spans="92:95" x14ac:dyDescent="0.2">
      <c r="CN285" s="399"/>
      <c r="CQ285" s="766"/>
    </row>
    <row r="286" spans="92:95" x14ac:dyDescent="0.2">
      <c r="CN286" s="399"/>
      <c r="CQ286" s="766"/>
    </row>
    <row r="287" spans="92:95" x14ac:dyDescent="0.2">
      <c r="CN287" s="399"/>
      <c r="CQ287" s="766"/>
    </row>
    <row r="288" spans="92:95" x14ac:dyDescent="0.2">
      <c r="CN288" s="399"/>
      <c r="CQ288" s="766"/>
    </row>
    <row r="289" spans="92:95" x14ac:dyDescent="0.2">
      <c r="CN289" s="399"/>
      <c r="CQ289" s="766"/>
    </row>
    <row r="290" spans="92:95" x14ac:dyDescent="0.2">
      <c r="CN290" s="399"/>
      <c r="CQ290" s="766"/>
    </row>
    <row r="291" spans="92:95" x14ac:dyDescent="0.2">
      <c r="CN291" s="399"/>
      <c r="CQ291" s="766"/>
    </row>
    <row r="292" spans="92:95" x14ac:dyDescent="0.2">
      <c r="CN292" s="399"/>
      <c r="CQ292" s="766"/>
    </row>
    <row r="293" spans="92:95" x14ac:dyDescent="0.2">
      <c r="CN293" s="399"/>
      <c r="CQ293" s="766"/>
    </row>
    <row r="294" spans="92:95" x14ac:dyDescent="0.2">
      <c r="CN294" s="399"/>
      <c r="CQ294" s="766"/>
    </row>
    <row r="295" spans="92:95" x14ac:dyDescent="0.2">
      <c r="CN295" s="399"/>
      <c r="CQ295" s="766"/>
    </row>
    <row r="296" spans="92:95" x14ac:dyDescent="0.2">
      <c r="CN296" s="399"/>
      <c r="CQ296" s="766"/>
    </row>
    <row r="297" spans="92:95" x14ac:dyDescent="0.2">
      <c r="CN297" s="399"/>
      <c r="CQ297" s="766"/>
    </row>
    <row r="298" spans="92:95" x14ac:dyDescent="0.2">
      <c r="CN298" s="399"/>
      <c r="CQ298" s="766"/>
    </row>
    <row r="299" spans="92:95" x14ac:dyDescent="0.2">
      <c r="CN299" s="399"/>
      <c r="CQ299" s="766"/>
    </row>
    <row r="300" spans="92:95" x14ac:dyDescent="0.2">
      <c r="CN300" s="399"/>
      <c r="CQ300" s="766"/>
    </row>
    <row r="301" spans="92:95" x14ac:dyDescent="0.2">
      <c r="CN301" s="399"/>
      <c r="CQ301" s="766"/>
    </row>
    <row r="302" spans="92:95" x14ac:dyDescent="0.2">
      <c r="CN302" s="399"/>
      <c r="CQ302" s="766"/>
    </row>
    <row r="303" spans="92:95" x14ac:dyDescent="0.2">
      <c r="CN303" s="399"/>
      <c r="CQ303" s="766"/>
    </row>
    <row r="304" spans="92:95" x14ac:dyDescent="0.2">
      <c r="CN304" s="399"/>
      <c r="CQ304" s="766"/>
    </row>
    <row r="305" spans="92:95" x14ac:dyDescent="0.2">
      <c r="CN305" s="399"/>
      <c r="CQ305" s="766"/>
    </row>
    <row r="306" spans="92:95" x14ac:dyDescent="0.2">
      <c r="CN306" s="399"/>
      <c r="CQ306" s="766"/>
    </row>
    <row r="307" spans="92:95" x14ac:dyDescent="0.2">
      <c r="CN307" s="399"/>
      <c r="CQ307" s="766"/>
    </row>
    <row r="308" spans="92:95" x14ac:dyDescent="0.2">
      <c r="CN308" s="399"/>
      <c r="CQ308" s="766"/>
    </row>
    <row r="309" spans="92:95" x14ac:dyDescent="0.2">
      <c r="CN309" s="399"/>
      <c r="CQ309" s="766"/>
    </row>
    <row r="310" spans="92:95" x14ac:dyDescent="0.2">
      <c r="CN310" s="399"/>
      <c r="CQ310" s="766"/>
    </row>
    <row r="311" spans="92:95" x14ac:dyDescent="0.2">
      <c r="CN311" s="399"/>
      <c r="CQ311" s="766"/>
    </row>
    <row r="312" spans="92:95" x14ac:dyDescent="0.2">
      <c r="CN312" s="399"/>
      <c r="CQ312" s="766"/>
    </row>
    <row r="313" spans="92:95" x14ac:dyDescent="0.2">
      <c r="CN313" s="399"/>
      <c r="CQ313" s="766"/>
    </row>
    <row r="314" spans="92:95" x14ac:dyDescent="0.2">
      <c r="CN314" s="399"/>
      <c r="CQ314" s="766"/>
    </row>
    <row r="315" spans="92:95" x14ac:dyDescent="0.2">
      <c r="CN315" s="399"/>
      <c r="CQ315" s="766"/>
    </row>
    <row r="316" spans="92:95" x14ac:dyDescent="0.2">
      <c r="CN316" s="399"/>
      <c r="CQ316" s="766"/>
    </row>
    <row r="317" spans="92:95" x14ac:dyDescent="0.2">
      <c r="CN317" s="399"/>
      <c r="CQ317" s="766"/>
    </row>
    <row r="318" spans="92:95" x14ac:dyDescent="0.2">
      <c r="CN318" s="399"/>
      <c r="CQ318" s="766"/>
    </row>
    <row r="319" spans="92:95" x14ac:dyDescent="0.2">
      <c r="CN319" s="399"/>
      <c r="CQ319" s="766"/>
    </row>
    <row r="320" spans="92:95" x14ac:dyDescent="0.2">
      <c r="CN320" s="399"/>
      <c r="CQ320" s="766"/>
    </row>
    <row r="321" spans="92:95" x14ac:dyDescent="0.2">
      <c r="CN321" s="399"/>
      <c r="CQ321" s="766"/>
    </row>
    <row r="322" spans="92:95" x14ac:dyDescent="0.2">
      <c r="CN322" s="399"/>
      <c r="CQ322" s="766"/>
    </row>
    <row r="323" spans="92:95" x14ac:dyDescent="0.2">
      <c r="CN323" s="399"/>
      <c r="CQ323" s="766"/>
    </row>
    <row r="324" spans="92:95" x14ac:dyDescent="0.2">
      <c r="CN324" s="399"/>
      <c r="CQ324" s="766"/>
    </row>
    <row r="325" spans="92:95" x14ac:dyDescent="0.2">
      <c r="CN325" s="399"/>
      <c r="CQ325" s="766"/>
    </row>
    <row r="326" spans="92:95" x14ac:dyDescent="0.2">
      <c r="CN326" s="399"/>
      <c r="CQ326" s="766"/>
    </row>
    <row r="327" spans="92:95" x14ac:dyDescent="0.2">
      <c r="CN327" s="399"/>
      <c r="CQ327" s="766"/>
    </row>
    <row r="328" spans="92:95" x14ac:dyDescent="0.2">
      <c r="CN328" s="399"/>
      <c r="CQ328" s="766"/>
    </row>
    <row r="329" spans="92:95" x14ac:dyDescent="0.2">
      <c r="CN329" s="399"/>
      <c r="CQ329" s="766"/>
    </row>
    <row r="330" spans="92:95" x14ac:dyDescent="0.2">
      <c r="CN330" s="399"/>
      <c r="CQ330" s="766"/>
    </row>
    <row r="331" spans="92:95" x14ac:dyDescent="0.2">
      <c r="CN331" s="399"/>
      <c r="CQ331" s="766"/>
    </row>
    <row r="332" spans="92:95" x14ac:dyDescent="0.2">
      <c r="CN332" s="399"/>
      <c r="CQ332" s="766"/>
    </row>
    <row r="333" spans="92:95" x14ac:dyDescent="0.2">
      <c r="CN333" s="399"/>
      <c r="CQ333" s="766"/>
    </row>
    <row r="334" spans="92:95" x14ac:dyDescent="0.2">
      <c r="CN334" s="399"/>
      <c r="CQ334" s="766"/>
    </row>
    <row r="335" spans="92:95" x14ac:dyDescent="0.2">
      <c r="CN335" s="399"/>
      <c r="CQ335" s="766"/>
    </row>
    <row r="336" spans="92:95" x14ac:dyDescent="0.2">
      <c r="CN336" s="399"/>
      <c r="CQ336" s="766"/>
    </row>
    <row r="337" spans="92:95" x14ac:dyDescent="0.2">
      <c r="CN337" s="399"/>
      <c r="CQ337" s="766"/>
    </row>
    <row r="338" spans="92:95" x14ac:dyDescent="0.2">
      <c r="CN338" s="399"/>
      <c r="CQ338" s="766"/>
    </row>
    <row r="339" spans="92:95" x14ac:dyDescent="0.2">
      <c r="CN339" s="399"/>
      <c r="CQ339" s="766"/>
    </row>
    <row r="340" spans="92:95" x14ac:dyDescent="0.2">
      <c r="CN340" s="399"/>
      <c r="CQ340" s="766"/>
    </row>
    <row r="341" spans="92:95" x14ac:dyDescent="0.2">
      <c r="CN341" s="399"/>
      <c r="CQ341" s="766"/>
    </row>
    <row r="342" spans="92:95" x14ac:dyDescent="0.2">
      <c r="CN342" s="399"/>
      <c r="CQ342" s="766"/>
    </row>
    <row r="343" spans="92:95" x14ac:dyDescent="0.2">
      <c r="CN343" s="399"/>
      <c r="CQ343" s="766"/>
    </row>
    <row r="344" spans="92:95" x14ac:dyDescent="0.2">
      <c r="CN344" s="399"/>
      <c r="CQ344" s="766"/>
    </row>
    <row r="345" spans="92:95" x14ac:dyDescent="0.2">
      <c r="CN345" s="399"/>
      <c r="CQ345" s="766"/>
    </row>
    <row r="346" spans="92:95" x14ac:dyDescent="0.2">
      <c r="CN346" s="399"/>
      <c r="CQ346" s="766"/>
    </row>
    <row r="347" spans="92:95" x14ac:dyDescent="0.2">
      <c r="CN347" s="399"/>
      <c r="CQ347" s="766"/>
    </row>
    <row r="348" spans="92:95" x14ac:dyDescent="0.2">
      <c r="CN348" s="399"/>
      <c r="CQ348" s="766"/>
    </row>
    <row r="349" spans="92:95" x14ac:dyDescent="0.2">
      <c r="CN349" s="399"/>
      <c r="CQ349" s="766"/>
    </row>
    <row r="350" spans="92:95" x14ac:dyDescent="0.2">
      <c r="CN350" s="399"/>
      <c r="CQ350" s="766"/>
    </row>
    <row r="351" spans="92:95" x14ac:dyDescent="0.2">
      <c r="CN351" s="399"/>
      <c r="CQ351" s="766"/>
    </row>
    <row r="352" spans="92:95" x14ac:dyDescent="0.2">
      <c r="CN352" s="399"/>
      <c r="CQ352" s="766"/>
    </row>
    <row r="353" spans="92:95" x14ac:dyDescent="0.2">
      <c r="CN353" s="399"/>
      <c r="CQ353" s="766"/>
    </row>
    <row r="354" spans="92:95" x14ac:dyDescent="0.2">
      <c r="CN354" s="399"/>
      <c r="CQ354" s="766"/>
    </row>
    <row r="355" spans="92:95" x14ac:dyDescent="0.2">
      <c r="CN355" s="399"/>
      <c r="CQ355" s="766"/>
    </row>
    <row r="356" spans="92:95" x14ac:dyDescent="0.2">
      <c r="CN356" s="399"/>
      <c r="CQ356" s="766"/>
    </row>
    <row r="357" spans="92:95" x14ac:dyDescent="0.2">
      <c r="CN357" s="399"/>
      <c r="CQ357" s="766"/>
    </row>
    <row r="358" spans="92:95" x14ac:dyDescent="0.2">
      <c r="CN358" s="399"/>
      <c r="CQ358" s="766"/>
    </row>
    <row r="359" spans="92:95" x14ac:dyDescent="0.2">
      <c r="CN359" s="399"/>
      <c r="CQ359" s="766"/>
    </row>
    <row r="360" spans="92:95" x14ac:dyDescent="0.2">
      <c r="CN360" s="399"/>
      <c r="CQ360" s="766"/>
    </row>
    <row r="361" spans="92:95" x14ac:dyDescent="0.2">
      <c r="CN361" s="399"/>
      <c r="CQ361" s="766"/>
    </row>
    <row r="362" spans="92:95" x14ac:dyDescent="0.2">
      <c r="CN362" s="399"/>
      <c r="CQ362" s="766"/>
    </row>
    <row r="363" spans="92:95" x14ac:dyDescent="0.2">
      <c r="CN363" s="399"/>
      <c r="CQ363" s="766"/>
    </row>
    <row r="364" spans="92:95" x14ac:dyDescent="0.2">
      <c r="CN364" s="399"/>
      <c r="CQ364" s="766"/>
    </row>
    <row r="365" spans="92:95" x14ac:dyDescent="0.2">
      <c r="CN365" s="399"/>
      <c r="CQ365" s="766"/>
    </row>
    <row r="366" spans="92:95" x14ac:dyDescent="0.2">
      <c r="CN366" s="399"/>
      <c r="CQ366" s="766"/>
    </row>
    <row r="367" spans="92:95" x14ac:dyDescent="0.2">
      <c r="CN367" s="399"/>
      <c r="CQ367" s="766"/>
    </row>
    <row r="368" spans="92:95" x14ac:dyDescent="0.2">
      <c r="CN368" s="399"/>
      <c r="CQ368" s="766"/>
    </row>
    <row r="369" spans="92:95" x14ac:dyDescent="0.2">
      <c r="CN369" s="399"/>
      <c r="CQ369" s="766"/>
    </row>
    <row r="370" spans="92:95" x14ac:dyDescent="0.2">
      <c r="CN370" s="399"/>
      <c r="CQ370" s="766"/>
    </row>
    <row r="371" spans="92:95" x14ac:dyDescent="0.2">
      <c r="CN371" s="399"/>
      <c r="CQ371" s="766"/>
    </row>
    <row r="372" spans="92:95" x14ac:dyDescent="0.2">
      <c r="CN372" s="399"/>
      <c r="CQ372" s="766"/>
    </row>
    <row r="373" spans="92:95" x14ac:dyDescent="0.2">
      <c r="CN373" s="399"/>
      <c r="CQ373" s="766"/>
    </row>
    <row r="374" spans="92:95" x14ac:dyDescent="0.2">
      <c r="CN374" s="399"/>
      <c r="CQ374" s="766"/>
    </row>
    <row r="375" spans="92:95" x14ac:dyDescent="0.2">
      <c r="CN375" s="399"/>
      <c r="CQ375" s="766"/>
    </row>
    <row r="376" spans="92:95" x14ac:dyDescent="0.2">
      <c r="CN376" s="399"/>
      <c r="CQ376" s="766"/>
    </row>
    <row r="377" spans="92:95" x14ac:dyDescent="0.2">
      <c r="CN377" s="399"/>
      <c r="CQ377" s="766"/>
    </row>
    <row r="378" spans="92:95" x14ac:dyDescent="0.2">
      <c r="CN378" s="399"/>
      <c r="CQ378" s="766"/>
    </row>
    <row r="379" spans="92:95" x14ac:dyDescent="0.2">
      <c r="CN379" s="399"/>
      <c r="CQ379" s="766"/>
    </row>
    <row r="380" spans="92:95" x14ac:dyDescent="0.2">
      <c r="CN380" s="399"/>
      <c r="CQ380" s="766"/>
    </row>
    <row r="381" spans="92:95" x14ac:dyDescent="0.2">
      <c r="CN381" s="399"/>
      <c r="CQ381" s="766"/>
    </row>
    <row r="382" spans="92:95" x14ac:dyDescent="0.2">
      <c r="CN382" s="399"/>
      <c r="CQ382" s="766"/>
    </row>
    <row r="383" spans="92:95" x14ac:dyDescent="0.2">
      <c r="CN383" s="399"/>
      <c r="CQ383" s="766"/>
    </row>
    <row r="384" spans="92:95" x14ac:dyDescent="0.2">
      <c r="CN384" s="399"/>
      <c r="CQ384" s="766"/>
    </row>
    <row r="385" spans="92:95" x14ac:dyDescent="0.2">
      <c r="CN385" s="399"/>
      <c r="CQ385" s="766"/>
    </row>
    <row r="386" spans="92:95" x14ac:dyDescent="0.2">
      <c r="CN386" s="399"/>
      <c r="CQ386" s="766"/>
    </row>
    <row r="387" spans="92:95" x14ac:dyDescent="0.2">
      <c r="CN387" s="399"/>
      <c r="CQ387" s="766"/>
    </row>
    <row r="388" spans="92:95" x14ac:dyDescent="0.2">
      <c r="CN388" s="399"/>
      <c r="CQ388" s="766"/>
    </row>
    <row r="389" spans="92:95" x14ac:dyDescent="0.2">
      <c r="CN389" s="399"/>
      <c r="CQ389" s="766"/>
    </row>
    <row r="390" spans="92:95" x14ac:dyDescent="0.2">
      <c r="CN390" s="399"/>
      <c r="CQ390" s="766"/>
    </row>
    <row r="391" spans="92:95" x14ac:dyDescent="0.2">
      <c r="CN391" s="399"/>
      <c r="CQ391" s="766"/>
    </row>
    <row r="392" spans="92:95" x14ac:dyDescent="0.2">
      <c r="CN392" s="399"/>
      <c r="CQ392" s="766"/>
    </row>
    <row r="393" spans="92:95" x14ac:dyDescent="0.2">
      <c r="CN393" s="399"/>
      <c r="CQ393" s="766"/>
    </row>
    <row r="394" spans="92:95" x14ac:dyDescent="0.2">
      <c r="CN394" s="399"/>
      <c r="CQ394" s="766"/>
    </row>
    <row r="395" spans="92:95" x14ac:dyDescent="0.2">
      <c r="CN395" s="399"/>
      <c r="CQ395" s="766"/>
    </row>
    <row r="396" spans="92:95" x14ac:dyDescent="0.2">
      <c r="CN396" s="399"/>
      <c r="CQ396" s="766"/>
    </row>
    <row r="397" spans="92:95" x14ac:dyDescent="0.2">
      <c r="CN397" s="399"/>
      <c r="CQ397" s="766"/>
    </row>
    <row r="398" spans="92:95" x14ac:dyDescent="0.2">
      <c r="CN398" s="399"/>
      <c r="CQ398" s="766"/>
    </row>
    <row r="399" spans="92:95" x14ac:dyDescent="0.2">
      <c r="CN399" s="399"/>
      <c r="CQ399" s="766"/>
    </row>
    <row r="400" spans="92:95" x14ac:dyDescent="0.2">
      <c r="CN400" s="399"/>
      <c r="CQ400" s="766"/>
    </row>
    <row r="401" spans="92:95" x14ac:dyDescent="0.2">
      <c r="CN401" s="399"/>
      <c r="CQ401" s="766"/>
    </row>
    <row r="402" spans="92:95" x14ac:dyDescent="0.2">
      <c r="CN402" s="399"/>
      <c r="CQ402" s="766"/>
    </row>
    <row r="403" spans="92:95" x14ac:dyDescent="0.2">
      <c r="CN403" s="399"/>
      <c r="CQ403" s="766"/>
    </row>
    <row r="404" spans="92:95" x14ac:dyDescent="0.2">
      <c r="CN404" s="399"/>
      <c r="CQ404" s="766"/>
    </row>
    <row r="405" spans="92:95" x14ac:dyDescent="0.2">
      <c r="CN405" s="399"/>
      <c r="CQ405" s="766"/>
    </row>
    <row r="406" spans="92:95" x14ac:dyDescent="0.2">
      <c r="CN406" s="399"/>
      <c r="CQ406" s="766"/>
    </row>
    <row r="407" spans="92:95" x14ac:dyDescent="0.2">
      <c r="CN407" s="399"/>
      <c r="CQ407" s="766"/>
    </row>
    <row r="408" spans="92:95" x14ac:dyDescent="0.2">
      <c r="CN408" s="399"/>
      <c r="CQ408" s="766"/>
    </row>
    <row r="409" spans="92:95" x14ac:dyDescent="0.2">
      <c r="CN409" s="399"/>
      <c r="CQ409" s="766"/>
    </row>
    <row r="410" spans="92:95" x14ac:dyDescent="0.2">
      <c r="CN410" s="399"/>
      <c r="CQ410" s="766"/>
    </row>
    <row r="411" spans="92:95" x14ac:dyDescent="0.2">
      <c r="CN411" s="399"/>
      <c r="CQ411" s="766"/>
    </row>
    <row r="412" spans="92:95" x14ac:dyDescent="0.2">
      <c r="CN412" s="399"/>
      <c r="CQ412" s="766"/>
    </row>
    <row r="413" spans="92:95" x14ac:dyDescent="0.2">
      <c r="CN413" s="399"/>
      <c r="CQ413" s="766"/>
    </row>
    <row r="414" spans="92:95" x14ac:dyDescent="0.2">
      <c r="CN414" s="399"/>
      <c r="CQ414" s="766"/>
    </row>
    <row r="415" spans="92:95" x14ac:dyDescent="0.2">
      <c r="CN415" s="399"/>
      <c r="CQ415" s="766"/>
    </row>
    <row r="416" spans="92:95" x14ac:dyDescent="0.2">
      <c r="CN416" s="399"/>
      <c r="CQ416" s="766"/>
    </row>
    <row r="417" spans="92:95" x14ac:dyDescent="0.2">
      <c r="CN417" s="399"/>
      <c r="CQ417" s="766"/>
    </row>
    <row r="418" spans="92:95" x14ac:dyDescent="0.2">
      <c r="CN418" s="399"/>
      <c r="CQ418" s="766"/>
    </row>
    <row r="419" spans="92:95" x14ac:dyDescent="0.2">
      <c r="CN419" s="399"/>
      <c r="CQ419" s="766"/>
    </row>
    <row r="420" spans="92:95" x14ac:dyDescent="0.2">
      <c r="CN420" s="399"/>
      <c r="CQ420" s="766"/>
    </row>
    <row r="421" spans="92:95" x14ac:dyDescent="0.2">
      <c r="CN421" s="399"/>
      <c r="CQ421" s="766"/>
    </row>
    <row r="422" spans="92:95" x14ac:dyDescent="0.2">
      <c r="CN422" s="399"/>
      <c r="CQ422" s="766"/>
    </row>
    <row r="423" spans="92:95" x14ac:dyDescent="0.2">
      <c r="CN423" s="399"/>
      <c r="CQ423" s="766"/>
    </row>
    <row r="424" spans="92:95" x14ac:dyDescent="0.2">
      <c r="CN424" s="399"/>
      <c r="CQ424" s="766"/>
    </row>
    <row r="425" spans="92:95" x14ac:dyDescent="0.2">
      <c r="CN425" s="399"/>
      <c r="CQ425" s="766"/>
    </row>
    <row r="426" spans="92:95" x14ac:dyDescent="0.2">
      <c r="CN426" s="399"/>
      <c r="CQ426" s="766"/>
    </row>
    <row r="427" spans="92:95" x14ac:dyDescent="0.2">
      <c r="CN427" s="399"/>
      <c r="CQ427" s="766"/>
    </row>
    <row r="428" spans="92:95" x14ac:dyDescent="0.2">
      <c r="CN428" s="399"/>
      <c r="CQ428" s="766"/>
    </row>
    <row r="429" spans="92:95" x14ac:dyDescent="0.2">
      <c r="CN429" s="399"/>
      <c r="CQ429" s="766"/>
    </row>
    <row r="430" spans="92:95" x14ac:dyDescent="0.2">
      <c r="CN430" s="399"/>
      <c r="CQ430" s="766"/>
    </row>
    <row r="431" spans="92:95" x14ac:dyDescent="0.2">
      <c r="CN431" s="399"/>
      <c r="CQ431" s="766"/>
    </row>
    <row r="432" spans="92:95" x14ac:dyDescent="0.2">
      <c r="CN432" s="399"/>
      <c r="CQ432" s="766"/>
    </row>
    <row r="433" spans="92:95" x14ac:dyDescent="0.2">
      <c r="CN433" s="399"/>
      <c r="CQ433" s="766"/>
    </row>
    <row r="434" spans="92:95" x14ac:dyDescent="0.2">
      <c r="CN434" s="399"/>
      <c r="CQ434" s="766"/>
    </row>
    <row r="435" spans="92:95" x14ac:dyDescent="0.2">
      <c r="CN435" s="399"/>
      <c r="CQ435" s="766"/>
    </row>
    <row r="436" spans="92:95" x14ac:dyDescent="0.2">
      <c r="CN436" s="399"/>
      <c r="CQ436" s="766"/>
    </row>
    <row r="437" spans="92:95" x14ac:dyDescent="0.2">
      <c r="CN437" s="399"/>
      <c r="CQ437" s="766"/>
    </row>
    <row r="438" spans="92:95" x14ac:dyDescent="0.2">
      <c r="CN438" s="399"/>
      <c r="CQ438" s="766"/>
    </row>
    <row r="439" spans="92:95" x14ac:dyDescent="0.2">
      <c r="CN439" s="399"/>
      <c r="CQ439" s="766"/>
    </row>
    <row r="440" spans="92:95" x14ac:dyDescent="0.2">
      <c r="CN440" s="399"/>
      <c r="CQ440" s="766"/>
    </row>
    <row r="441" spans="92:95" x14ac:dyDescent="0.2">
      <c r="CN441" s="399"/>
      <c r="CQ441" s="766"/>
    </row>
    <row r="442" spans="92:95" x14ac:dyDescent="0.2">
      <c r="CN442" s="399"/>
      <c r="CQ442" s="766"/>
    </row>
    <row r="443" spans="92:95" x14ac:dyDescent="0.2">
      <c r="CN443" s="399"/>
      <c r="CQ443" s="766"/>
    </row>
    <row r="444" spans="92:95" x14ac:dyDescent="0.2">
      <c r="CN444" s="399"/>
      <c r="CQ444" s="766"/>
    </row>
    <row r="445" spans="92:95" x14ac:dyDescent="0.2">
      <c r="CN445" s="399"/>
      <c r="CQ445" s="766"/>
    </row>
    <row r="446" spans="92:95" x14ac:dyDescent="0.2">
      <c r="CN446" s="399"/>
      <c r="CQ446" s="766"/>
    </row>
    <row r="447" spans="92:95" x14ac:dyDescent="0.2">
      <c r="CN447" s="399"/>
      <c r="CQ447" s="766"/>
    </row>
    <row r="448" spans="92:95" x14ac:dyDescent="0.2">
      <c r="CN448" s="399"/>
      <c r="CQ448" s="766"/>
    </row>
    <row r="449" spans="92:95" x14ac:dyDescent="0.2">
      <c r="CN449" s="399"/>
      <c r="CQ449" s="766"/>
    </row>
    <row r="450" spans="92:95" x14ac:dyDescent="0.2">
      <c r="CN450" s="399"/>
      <c r="CQ450" s="766"/>
    </row>
    <row r="451" spans="92:95" x14ac:dyDescent="0.2">
      <c r="CN451" s="399"/>
      <c r="CQ451" s="766"/>
    </row>
    <row r="452" spans="92:95" x14ac:dyDescent="0.2">
      <c r="CN452" s="399"/>
      <c r="CQ452" s="766"/>
    </row>
    <row r="453" spans="92:95" x14ac:dyDescent="0.2">
      <c r="CN453" s="399"/>
      <c r="CQ453" s="766"/>
    </row>
    <row r="454" spans="92:95" x14ac:dyDescent="0.2">
      <c r="CN454" s="399"/>
      <c r="CQ454" s="766"/>
    </row>
    <row r="455" spans="92:95" x14ac:dyDescent="0.2">
      <c r="CN455" s="399"/>
      <c r="CQ455" s="766"/>
    </row>
    <row r="456" spans="92:95" x14ac:dyDescent="0.2">
      <c r="CN456" s="399"/>
      <c r="CQ456" s="766"/>
    </row>
    <row r="457" spans="92:95" x14ac:dyDescent="0.2">
      <c r="CN457" s="399"/>
      <c r="CQ457" s="766"/>
    </row>
    <row r="458" spans="92:95" x14ac:dyDescent="0.2">
      <c r="CN458" s="399"/>
      <c r="CQ458" s="766"/>
    </row>
    <row r="459" spans="92:95" x14ac:dyDescent="0.2">
      <c r="CN459" s="399"/>
      <c r="CQ459" s="766"/>
    </row>
    <row r="460" spans="92:95" x14ac:dyDescent="0.2">
      <c r="CN460" s="399"/>
      <c r="CQ460" s="766"/>
    </row>
    <row r="461" spans="92:95" x14ac:dyDescent="0.2">
      <c r="CN461" s="399"/>
      <c r="CQ461" s="766"/>
    </row>
    <row r="462" spans="92:95" x14ac:dyDescent="0.2">
      <c r="CN462" s="399"/>
      <c r="CQ462" s="766"/>
    </row>
    <row r="463" spans="92:95" x14ac:dyDescent="0.2">
      <c r="CN463" s="399"/>
      <c r="CQ463" s="766"/>
    </row>
    <row r="464" spans="92:95" x14ac:dyDescent="0.2">
      <c r="CN464" s="399"/>
      <c r="CQ464" s="766"/>
    </row>
    <row r="465" spans="92:95" x14ac:dyDescent="0.2">
      <c r="CN465" s="399"/>
      <c r="CQ465" s="766"/>
    </row>
    <row r="466" spans="92:95" x14ac:dyDescent="0.2">
      <c r="CN466" s="399"/>
      <c r="CQ466" s="766"/>
    </row>
    <row r="467" spans="92:95" x14ac:dyDescent="0.2">
      <c r="CN467" s="399"/>
      <c r="CQ467" s="766"/>
    </row>
    <row r="468" spans="92:95" x14ac:dyDescent="0.2">
      <c r="CN468" s="399"/>
      <c r="CQ468" s="766"/>
    </row>
    <row r="469" spans="92:95" x14ac:dyDescent="0.2">
      <c r="CN469" s="399"/>
      <c r="CQ469" s="766"/>
    </row>
    <row r="470" spans="92:95" x14ac:dyDescent="0.2">
      <c r="CN470" s="399"/>
      <c r="CQ470" s="766"/>
    </row>
    <row r="471" spans="92:95" x14ac:dyDescent="0.2">
      <c r="CN471" s="399"/>
      <c r="CQ471" s="766"/>
    </row>
    <row r="472" spans="92:95" x14ac:dyDescent="0.2">
      <c r="CN472" s="399"/>
      <c r="CQ472" s="766"/>
    </row>
    <row r="473" spans="92:95" x14ac:dyDescent="0.2">
      <c r="CN473" s="399"/>
      <c r="CQ473" s="766"/>
    </row>
    <row r="474" spans="92:95" x14ac:dyDescent="0.2">
      <c r="CN474" s="399"/>
      <c r="CQ474" s="766"/>
    </row>
    <row r="475" spans="92:95" x14ac:dyDescent="0.2">
      <c r="CN475" s="399"/>
      <c r="CQ475" s="766"/>
    </row>
    <row r="476" spans="92:95" x14ac:dyDescent="0.2">
      <c r="CN476" s="399"/>
      <c r="CQ476" s="766"/>
    </row>
    <row r="477" spans="92:95" x14ac:dyDescent="0.2">
      <c r="CN477" s="399"/>
      <c r="CQ477" s="766"/>
    </row>
    <row r="478" spans="92:95" x14ac:dyDescent="0.2">
      <c r="CN478" s="399"/>
      <c r="CQ478" s="766"/>
    </row>
    <row r="479" spans="92:95" x14ac:dyDescent="0.2">
      <c r="CN479" s="399"/>
      <c r="CQ479" s="766"/>
    </row>
    <row r="480" spans="92:95" x14ac:dyDescent="0.2">
      <c r="CN480" s="399"/>
      <c r="CQ480" s="766"/>
    </row>
    <row r="481" spans="92:95" x14ac:dyDescent="0.2">
      <c r="CN481" s="399"/>
      <c r="CQ481" s="766"/>
    </row>
    <row r="482" spans="92:95" x14ac:dyDescent="0.2">
      <c r="CN482" s="399"/>
      <c r="CQ482" s="766"/>
    </row>
    <row r="483" spans="92:95" x14ac:dyDescent="0.2">
      <c r="CN483" s="399"/>
      <c r="CQ483" s="766"/>
    </row>
    <row r="484" spans="92:95" x14ac:dyDescent="0.2">
      <c r="CN484" s="399"/>
      <c r="CQ484" s="766"/>
    </row>
    <row r="485" spans="92:95" x14ac:dyDescent="0.2">
      <c r="CN485" s="399"/>
      <c r="CQ485" s="766"/>
    </row>
    <row r="486" spans="92:95" x14ac:dyDescent="0.2">
      <c r="CN486" s="399"/>
      <c r="CQ486" s="766"/>
    </row>
    <row r="487" spans="92:95" x14ac:dyDescent="0.2">
      <c r="CN487" s="399"/>
      <c r="CQ487" s="766"/>
    </row>
    <row r="488" spans="92:95" x14ac:dyDescent="0.2">
      <c r="CN488" s="399"/>
      <c r="CQ488" s="766"/>
    </row>
    <row r="489" spans="92:95" x14ac:dyDescent="0.2">
      <c r="CN489" s="399"/>
      <c r="CQ489" s="766"/>
    </row>
    <row r="490" spans="92:95" x14ac:dyDescent="0.2">
      <c r="CN490" s="399"/>
      <c r="CQ490" s="766"/>
    </row>
    <row r="491" spans="92:95" x14ac:dyDescent="0.2">
      <c r="CN491" s="399"/>
      <c r="CQ491" s="766"/>
    </row>
    <row r="492" spans="92:95" x14ac:dyDescent="0.2">
      <c r="CN492" s="399"/>
      <c r="CQ492" s="766"/>
    </row>
    <row r="493" spans="92:95" x14ac:dyDescent="0.2">
      <c r="CN493" s="399"/>
      <c r="CQ493" s="766"/>
    </row>
    <row r="494" spans="92:95" x14ac:dyDescent="0.2">
      <c r="CN494" s="399"/>
      <c r="CQ494" s="766"/>
    </row>
    <row r="495" spans="92:95" x14ac:dyDescent="0.2">
      <c r="CN495" s="399"/>
      <c r="CQ495" s="766"/>
    </row>
    <row r="496" spans="92:95" x14ac:dyDescent="0.2">
      <c r="CN496" s="399"/>
      <c r="CQ496" s="766"/>
    </row>
    <row r="497" spans="92:95" x14ac:dyDescent="0.2">
      <c r="CN497" s="399"/>
      <c r="CQ497" s="766"/>
    </row>
    <row r="498" spans="92:95" x14ac:dyDescent="0.2">
      <c r="CN498" s="399"/>
      <c r="CQ498" s="766"/>
    </row>
    <row r="499" spans="92:95" x14ac:dyDescent="0.2">
      <c r="CN499" s="399"/>
      <c r="CQ499" s="766"/>
    </row>
    <row r="500" spans="92:95" x14ac:dyDescent="0.2">
      <c r="CN500" s="399"/>
      <c r="CQ500" s="766"/>
    </row>
    <row r="501" spans="92:95" x14ac:dyDescent="0.2">
      <c r="CN501" s="399"/>
      <c r="CQ501" s="766"/>
    </row>
    <row r="502" spans="92:95" x14ac:dyDescent="0.2">
      <c r="CN502" s="399"/>
      <c r="CQ502" s="766"/>
    </row>
    <row r="503" spans="92:95" x14ac:dyDescent="0.2">
      <c r="CN503" s="399"/>
      <c r="CQ503" s="766"/>
    </row>
    <row r="504" spans="92:95" x14ac:dyDescent="0.2">
      <c r="CN504" s="399"/>
      <c r="CQ504" s="766"/>
    </row>
    <row r="505" spans="92:95" x14ac:dyDescent="0.2">
      <c r="CN505" s="399"/>
      <c r="CQ505" s="766"/>
    </row>
    <row r="506" spans="92:95" x14ac:dyDescent="0.2">
      <c r="CN506" s="399"/>
      <c r="CQ506" s="766"/>
    </row>
    <row r="507" spans="92:95" x14ac:dyDescent="0.2">
      <c r="CN507" s="399"/>
      <c r="CQ507" s="766"/>
    </row>
    <row r="508" spans="92:95" x14ac:dyDescent="0.2">
      <c r="CN508" s="399"/>
      <c r="CQ508" s="766"/>
    </row>
    <row r="509" spans="92:95" x14ac:dyDescent="0.2">
      <c r="CN509" s="399"/>
      <c r="CQ509" s="766"/>
    </row>
    <row r="510" spans="92:95" x14ac:dyDescent="0.2">
      <c r="CN510" s="399"/>
      <c r="CQ510" s="766"/>
    </row>
    <row r="511" spans="92:95" x14ac:dyDescent="0.2">
      <c r="CN511" s="399"/>
      <c r="CQ511" s="766"/>
    </row>
    <row r="512" spans="92:95" x14ac:dyDescent="0.2">
      <c r="CN512" s="399"/>
      <c r="CQ512" s="766"/>
    </row>
    <row r="513" spans="92:95" x14ac:dyDescent="0.2">
      <c r="CN513" s="399"/>
      <c r="CQ513" s="766"/>
    </row>
    <row r="514" spans="92:95" x14ac:dyDescent="0.2">
      <c r="CN514" s="399"/>
      <c r="CQ514" s="766"/>
    </row>
    <row r="515" spans="92:95" x14ac:dyDescent="0.2">
      <c r="CN515" s="399"/>
      <c r="CQ515" s="766"/>
    </row>
    <row r="516" spans="92:95" x14ac:dyDescent="0.2">
      <c r="CN516" s="399"/>
      <c r="CQ516" s="766"/>
    </row>
    <row r="517" spans="92:95" x14ac:dyDescent="0.2">
      <c r="CN517" s="399"/>
      <c r="CQ517" s="766"/>
    </row>
    <row r="518" spans="92:95" x14ac:dyDescent="0.2">
      <c r="CN518" s="399"/>
      <c r="CQ518" s="766"/>
    </row>
    <row r="519" spans="92:95" x14ac:dyDescent="0.2">
      <c r="CN519" s="399"/>
      <c r="CQ519" s="766"/>
    </row>
    <row r="520" spans="92:95" x14ac:dyDescent="0.2">
      <c r="CN520" s="399"/>
      <c r="CQ520" s="766"/>
    </row>
    <row r="521" spans="92:95" x14ac:dyDescent="0.2">
      <c r="CN521" s="399"/>
      <c r="CQ521" s="766"/>
    </row>
    <row r="522" spans="92:95" x14ac:dyDescent="0.2">
      <c r="CN522" s="399"/>
      <c r="CQ522" s="766"/>
    </row>
    <row r="523" spans="92:95" x14ac:dyDescent="0.2">
      <c r="CN523" s="399"/>
      <c r="CQ523" s="766"/>
    </row>
    <row r="524" spans="92:95" x14ac:dyDescent="0.2">
      <c r="CN524" s="399"/>
      <c r="CQ524" s="766"/>
    </row>
    <row r="525" spans="92:95" x14ac:dyDescent="0.2">
      <c r="CN525" s="399"/>
      <c r="CQ525" s="766"/>
    </row>
    <row r="526" spans="92:95" x14ac:dyDescent="0.2">
      <c r="CN526" s="399"/>
      <c r="CQ526" s="766"/>
    </row>
    <row r="527" spans="92:95" x14ac:dyDescent="0.2">
      <c r="CN527" s="399"/>
      <c r="CQ527" s="766"/>
    </row>
    <row r="528" spans="92:95" x14ac:dyDescent="0.2">
      <c r="CN528" s="399"/>
      <c r="CQ528" s="766"/>
    </row>
    <row r="529" spans="92:95" x14ac:dyDescent="0.2">
      <c r="CN529" s="399"/>
      <c r="CQ529" s="766"/>
    </row>
    <row r="530" spans="92:95" x14ac:dyDescent="0.2">
      <c r="CN530" s="399"/>
      <c r="CQ530" s="766"/>
    </row>
    <row r="531" spans="92:95" x14ac:dyDescent="0.2">
      <c r="CN531" s="399"/>
      <c r="CQ531" s="766"/>
    </row>
    <row r="532" spans="92:95" x14ac:dyDescent="0.2">
      <c r="CN532" s="399"/>
      <c r="CQ532" s="766"/>
    </row>
    <row r="533" spans="92:95" x14ac:dyDescent="0.2">
      <c r="CN533" s="399"/>
      <c r="CQ533" s="766"/>
    </row>
    <row r="534" spans="92:95" x14ac:dyDescent="0.2">
      <c r="CN534" s="399"/>
      <c r="CQ534" s="766"/>
    </row>
    <row r="535" spans="92:95" x14ac:dyDescent="0.2">
      <c r="CN535" s="399"/>
      <c r="CQ535" s="766"/>
    </row>
    <row r="536" spans="92:95" x14ac:dyDescent="0.2">
      <c r="CN536" s="399"/>
      <c r="CQ536" s="766"/>
    </row>
    <row r="537" spans="92:95" x14ac:dyDescent="0.2">
      <c r="CN537" s="399"/>
      <c r="CQ537" s="766"/>
    </row>
    <row r="538" spans="92:95" x14ac:dyDescent="0.2">
      <c r="CN538" s="399"/>
      <c r="CQ538" s="766"/>
    </row>
    <row r="539" spans="92:95" x14ac:dyDescent="0.2">
      <c r="CN539" s="399"/>
      <c r="CQ539" s="766"/>
    </row>
    <row r="540" spans="92:95" x14ac:dyDescent="0.2">
      <c r="CN540" s="399"/>
      <c r="CQ540" s="766"/>
    </row>
    <row r="541" spans="92:95" x14ac:dyDescent="0.2">
      <c r="CN541" s="399"/>
      <c r="CQ541" s="766"/>
    </row>
    <row r="542" spans="92:95" x14ac:dyDescent="0.2">
      <c r="CN542" s="399"/>
      <c r="CQ542" s="766"/>
    </row>
    <row r="543" spans="92:95" x14ac:dyDescent="0.2">
      <c r="CN543" s="399"/>
      <c r="CQ543" s="766"/>
    </row>
    <row r="544" spans="92:95" x14ac:dyDescent="0.2">
      <c r="CN544" s="399"/>
      <c r="CQ544" s="766"/>
    </row>
    <row r="545" spans="92:95" x14ac:dyDescent="0.2">
      <c r="CN545" s="399"/>
      <c r="CQ545" s="766"/>
    </row>
    <row r="546" spans="92:95" x14ac:dyDescent="0.2">
      <c r="CN546" s="399"/>
      <c r="CQ546" s="766"/>
    </row>
    <row r="547" spans="92:95" x14ac:dyDescent="0.2">
      <c r="CN547" s="399"/>
      <c r="CQ547" s="766"/>
    </row>
    <row r="548" spans="92:95" x14ac:dyDescent="0.2">
      <c r="CN548" s="399"/>
      <c r="CQ548" s="766"/>
    </row>
    <row r="549" spans="92:95" x14ac:dyDescent="0.2">
      <c r="CN549" s="399"/>
      <c r="CQ549" s="766"/>
    </row>
    <row r="550" spans="92:95" x14ac:dyDescent="0.2">
      <c r="CN550" s="399"/>
      <c r="CQ550" s="766"/>
    </row>
    <row r="551" spans="92:95" x14ac:dyDescent="0.2">
      <c r="CN551" s="399"/>
      <c r="CQ551" s="766"/>
    </row>
    <row r="552" spans="92:95" x14ac:dyDescent="0.2">
      <c r="CN552" s="399"/>
      <c r="CQ552" s="766"/>
    </row>
    <row r="553" spans="92:95" x14ac:dyDescent="0.2">
      <c r="CN553" s="399"/>
      <c r="CQ553" s="766"/>
    </row>
    <row r="554" spans="92:95" x14ac:dyDescent="0.2">
      <c r="CN554" s="399"/>
      <c r="CQ554" s="766"/>
    </row>
    <row r="555" spans="92:95" x14ac:dyDescent="0.2">
      <c r="CN555" s="399"/>
      <c r="CQ555" s="766"/>
    </row>
    <row r="556" spans="92:95" x14ac:dyDescent="0.2">
      <c r="CN556" s="399"/>
      <c r="CQ556" s="766"/>
    </row>
    <row r="557" spans="92:95" x14ac:dyDescent="0.2">
      <c r="CN557" s="399"/>
      <c r="CQ557" s="766"/>
    </row>
    <row r="558" spans="92:95" x14ac:dyDescent="0.2">
      <c r="CN558" s="399"/>
      <c r="CQ558" s="766"/>
    </row>
    <row r="559" spans="92:95" x14ac:dyDescent="0.2">
      <c r="CN559" s="399"/>
      <c r="CQ559" s="766"/>
    </row>
    <row r="560" spans="92:95" x14ac:dyDescent="0.2">
      <c r="CN560" s="399"/>
      <c r="CQ560" s="766"/>
    </row>
    <row r="561" spans="92:95" x14ac:dyDescent="0.2">
      <c r="CN561" s="399"/>
      <c r="CQ561" s="766"/>
    </row>
    <row r="562" spans="92:95" x14ac:dyDescent="0.2">
      <c r="CN562" s="399"/>
      <c r="CQ562" s="766"/>
    </row>
    <row r="563" spans="92:95" x14ac:dyDescent="0.2">
      <c r="CN563" s="399"/>
      <c r="CQ563" s="766"/>
    </row>
    <row r="564" spans="92:95" x14ac:dyDescent="0.2">
      <c r="CN564" s="399"/>
      <c r="CQ564" s="766"/>
    </row>
    <row r="565" spans="92:95" x14ac:dyDescent="0.2">
      <c r="CN565" s="399"/>
      <c r="CQ565" s="766"/>
    </row>
    <row r="566" spans="92:95" x14ac:dyDescent="0.2">
      <c r="CN566" s="399"/>
      <c r="CQ566" s="766"/>
    </row>
    <row r="567" spans="92:95" x14ac:dyDescent="0.2">
      <c r="CN567" s="399"/>
      <c r="CQ567" s="766"/>
    </row>
    <row r="568" spans="92:95" x14ac:dyDescent="0.2">
      <c r="CN568" s="399"/>
      <c r="CQ568" s="766"/>
    </row>
    <row r="569" spans="92:95" x14ac:dyDescent="0.2">
      <c r="CN569" s="399"/>
      <c r="CQ569" s="766"/>
    </row>
    <row r="570" spans="92:95" x14ac:dyDescent="0.2">
      <c r="CN570" s="399"/>
      <c r="CQ570" s="766"/>
    </row>
    <row r="571" spans="92:95" x14ac:dyDescent="0.2">
      <c r="CN571" s="399"/>
      <c r="CQ571" s="766"/>
    </row>
    <row r="572" spans="92:95" x14ac:dyDescent="0.2">
      <c r="CN572" s="399"/>
      <c r="CQ572" s="766"/>
    </row>
    <row r="573" spans="92:95" x14ac:dyDescent="0.2">
      <c r="CN573" s="399"/>
      <c r="CQ573" s="766"/>
    </row>
    <row r="574" spans="92:95" x14ac:dyDescent="0.2">
      <c r="CN574" s="399"/>
      <c r="CQ574" s="766"/>
    </row>
    <row r="575" spans="92:95" x14ac:dyDescent="0.2">
      <c r="CN575" s="399"/>
      <c r="CQ575" s="766"/>
    </row>
    <row r="576" spans="92:95" x14ac:dyDescent="0.2">
      <c r="CN576" s="399"/>
      <c r="CQ576" s="766"/>
    </row>
    <row r="577" spans="92:95" x14ac:dyDescent="0.2">
      <c r="CN577" s="399"/>
      <c r="CQ577" s="766"/>
    </row>
    <row r="578" spans="92:95" x14ac:dyDescent="0.2">
      <c r="CN578" s="399"/>
      <c r="CQ578" s="766"/>
    </row>
    <row r="579" spans="92:95" x14ac:dyDescent="0.2">
      <c r="CN579" s="399"/>
      <c r="CQ579" s="766"/>
    </row>
    <row r="580" spans="92:95" x14ac:dyDescent="0.2">
      <c r="CN580" s="399"/>
      <c r="CQ580" s="766"/>
    </row>
    <row r="581" spans="92:95" x14ac:dyDescent="0.2">
      <c r="CN581" s="399"/>
      <c r="CQ581" s="766"/>
    </row>
    <row r="582" spans="92:95" x14ac:dyDescent="0.2">
      <c r="CN582" s="399"/>
      <c r="CQ582" s="766"/>
    </row>
    <row r="583" spans="92:95" x14ac:dyDescent="0.2">
      <c r="CN583" s="399"/>
      <c r="CQ583" s="766"/>
    </row>
    <row r="584" spans="92:95" x14ac:dyDescent="0.2">
      <c r="CN584" s="399"/>
      <c r="CQ584" s="766"/>
    </row>
    <row r="585" spans="92:95" x14ac:dyDescent="0.2">
      <c r="CN585" s="399"/>
      <c r="CQ585" s="766"/>
    </row>
    <row r="586" spans="92:95" x14ac:dyDescent="0.2">
      <c r="CN586" s="399"/>
      <c r="CQ586" s="766"/>
    </row>
    <row r="587" spans="92:95" x14ac:dyDescent="0.2">
      <c r="CN587" s="399"/>
      <c r="CQ587" s="766"/>
    </row>
    <row r="588" spans="92:95" x14ac:dyDescent="0.2">
      <c r="CN588" s="399"/>
      <c r="CQ588" s="766"/>
    </row>
    <row r="589" spans="92:95" x14ac:dyDescent="0.2">
      <c r="CN589" s="399"/>
      <c r="CQ589" s="766"/>
    </row>
    <row r="590" spans="92:95" x14ac:dyDescent="0.2">
      <c r="CN590" s="399"/>
      <c r="CQ590" s="766"/>
    </row>
    <row r="591" spans="92:95" x14ac:dyDescent="0.2">
      <c r="CN591" s="399"/>
      <c r="CQ591" s="766"/>
    </row>
    <row r="592" spans="92:95" x14ac:dyDescent="0.2">
      <c r="CN592" s="399"/>
      <c r="CQ592" s="766"/>
    </row>
    <row r="593" spans="92:95" x14ac:dyDescent="0.2">
      <c r="CN593" s="399"/>
      <c r="CQ593" s="766"/>
    </row>
    <row r="594" spans="92:95" x14ac:dyDescent="0.2">
      <c r="CN594" s="399"/>
      <c r="CQ594" s="766"/>
    </row>
    <row r="595" spans="92:95" x14ac:dyDescent="0.2">
      <c r="CN595" s="399"/>
      <c r="CQ595" s="766"/>
    </row>
    <row r="596" spans="92:95" x14ac:dyDescent="0.2">
      <c r="CN596" s="399"/>
      <c r="CQ596" s="766"/>
    </row>
    <row r="597" spans="92:95" x14ac:dyDescent="0.2">
      <c r="CN597" s="399"/>
      <c r="CQ597" s="766"/>
    </row>
    <row r="598" spans="92:95" x14ac:dyDescent="0.2">
      <c r="CN598" s="399"/>
      <c r="CQ598" s="766"/>
    </row>
    <row r="599" spans="92:95" x14ac:dyDescent="0.2">
      <c r="CN599" s="399"/>
      <c r="CQ599" s="766"/>
    </row>
    <row r="600" spans="92:95" x14ac:dyDescent="0.2">
      <c r="CN600" s="399"/>
      <c r="CQ600" s="766"/>
    </row>
    <row r="601" spans="92:95" x14ac:dyDescent="0.2">
      <c r="CN601" s="399"/>
      <c r="CQ601" s="766"/>
    </row>
    <row r="602" spans="92:95" x14ac:dyDescent="0.2">
      <c r="CN602" s="399"/>
      <c r="CQ602" s="766"/>
    </row>
    <row r="603" spans="92:95" x14ac:dyDescent="0.2">
      <c r="CN603" s="399"/>
      <c r="CQ603" s="766"/>
    </row>
    <row r="604" spans="92:95" x14ac:dyDescent="0.2">
      <c r="CN604" s="399"/>
      <c r="CQ604" s="766"/>
    </row>
    <row r="605" spans="92:95" x14ac:dyDescent="0.2">
      <c r="CN605" s="399"/>
      <c r="CQ605" s="766"/>
    </row>
    <row r="606" spans="92:95" x14ac:dyDescent="0.2">
      <c r="CN606" s="399"/>
      <c r="CQ606" s="766"/>
    </row>
    <row r="607" spans="92:95" x14ac:dyDescent="0.2">
      <c r="CN607" s="399"/>
      <c r="CQ607" s="766"/>
    </row>
    <row r="608" spans="92:95" x14ac:dyDescent="0.2">
      <c r="CN608" s="399"/>
      <c r="CQ608" s="766"/>
    </row>
    <row r="609" spans="92:95" x14ac:dyDescent="0.2">
      <c r="CN609" s="399"/>
      <c r="CQ609" s="766"/>
    </row>
    <row r="610" spans="92:95" x14ac:dyDescent="0.2">
      <c r="CN610" s="399"/>
      <c r="CQ610" s="766"/>
    </row>
    <row r="611" spans="92:95" x14ac:dyDescent="0.2">
      <c r="CN611" s="399"/>
      <c r="CQ611" s="766"/>
    </row>
    <row r="612" spans="92:95" x14ac:dyDescent="0.2">
      <c r="CN612" s="399"/>
      <c r="CQ612" s="766"/>
    </row>
    <row r="613" spans="92:95" x14ac:dyDescent="0.2">
      <c r="CN613" s="399"/>
      <c r="CQ613" s="766"/>
    </row>
    <row r="614" spans="92:95" x14ac:dyDescent="0.2">
      <c r="CN614" s="399"/>
      <c r="CQ614" s="766"/>
    </row>
    <row r="615" spans="92:95" x14ac:dyDescent="0.2">
      <c r="CN615" s="399"/>
      <c r="CQ615" s="766"/>
    </row>
    <row r="616" spans="92:95" x14ac:dyDescent="0.2">
      <c r="CN616" s="399"/>
      <c r="CQ616" s="766"/>
    </row>
    <row r="617" spans="92:95" x14ac:dyDescent="0.2">
      <c r="CN617" s="399"/>
      <c r="CQ617" s="766"/>
    </row>
    <row r="618" spans="92:95" x14ac:dyDescent="0.2">
      <c r="CN618" s="399"/>
      <c r="CQ618" s="766"/>
    </row>
    <row r="619" spans="92:95" x14ac:dyDescent="0.2">
      <c r="CN619" s="399"/>
      <c r="CQ619" s="766"/>
    </row>
    <row r="620" spans="92:95" x14ac:dyDescent="0.2">
      <c r="CN620" s="399"/>
      <c r="CQ620" s="766"/>
    </row>
    <row r="621" spans="92:95" x14ac:dyDescent="0.2">
      <c r="CN621" s="399"/>
      <c r="CQ621" s="766"/>
    </row>
    <row r="622" spans="92:95" x14ac:dyDescent="0.2">
      <c r="CN622" s="399"/>
      <c r="CQ622" s="766"/>
    </row>
    <row r="623" spans="92:95" x14ac:dyDescent="0.2">
      <c r="CN623" s="399"/>
      <c r="CQ623" s="766"/>
    </row>
    <row r="624" spans="92:95" x14ac:dyDescent="0.2">
      <c r="CN624" s="399"/>
      <c r="CQ624" s="766"/>
    </row>
    <row r="625" spans="92:95" x14ac:dyDescent="0.2">
      <c r="CN625" s="399"/>
      <c r="CQ625" s="766"/>
    </row>
    <row r="626" spans="92:95" x14ac:dyDescent="0.2">
      <c r="CN626" s="399"/>
      <c r="CQ626" s="766"/>
    </row>
    <row r="627" spans="92:95" x14ac:dyDescent="0.2">
      <c r="CN627" s="399"/>
      <c r="CQ627" s="766"/>
    </row>
    <row r="628" spans="92:95" x14ac:dyDescent="0.2">
      <c r="CN628" s="399"/>
      <c r="CQ628" s="766"/>
    </row>
    <row r="629" spans="92:95" x14ac:dyDescent="0.2">
      <c r="CN629" s="399"/>
      <c r="CQ629" s="766"/>
    </row>
    <row r="630" spans="92:95" x14ac:dyDescent="0.2">
      <c r="CN630" s="399"/>
      <c r="CQ630" s="766"/>
    </row>
    <row r="631" spans="92:95" x14ac:dyDescent="0.2">
      <c r="CN631" s="399"/>
      <c r="CQ631" s="766"/>
    </row>
    <row r="632" spans="92:95" x14ac:dyDescent="0.2">
      <c r="CN632" s="399"/>
      <c r="CQ632" s="766"/>
    </row>
    <row r="633" spans="92:95" x14ac:dyDescent="0.2">
      <c r="CN633" s="399"/>
      <c r="CQ633" s="766"/>
    </row>
    <row r="634" spans="92:95" x14ac:dyDescent="0.2">
      <c r="CN634" s="399"/>
      <c r="CQ634" s="766"/>
    </row>
    <row r="635" spans="92:95" x14ac:dyDescent="0.2">
      <c r="CN635" s="399"/>
      <c r="CQ635" s="766"/>
    </row>
    <row r="636" spans="92:95" x14ac:dyDescent="0.2">
      <c r="CN636" s="399"/>
      <c r="CQ636" s="766"/>
    </row>
    <row r="637" spans="92:95" x14ac:dyDescent="0.2">
      <c r="CN637" s="399"/>
      <c r="CQ637" s="766"/>
    </row>
    <row r="638" spans="92:95" x14ac:dyDescent="0.2">
      <c r="CN638" s="399"/>
      <c r="CQ638" s="766"/>
    </row>
    <row r="639" spans="92:95" x14ac:dyDescent="0.2">
      <c r="CN639" s="399"/>
      <c r="CQ639" s="766"/>
    </row>
    <row r="640" spans="92:95" x14ac:dyDescent="0.2">
      <c r="CN640" s="399"/>
      <c r="CQ640" s="766"/>
    </row>
    <row r="641" spans="92:95" x14ac:dyDescent="0.2">
      <c r="CN641" s="399"/>
      <c r="CQ641" s="766"/>
    </row>
    <row r="642" spans="92:95" x14ac:dyDescent="0.2">
      <c r="CN642" s="399"/>
      <c r="CQ642" s="766"/>
    </row>
    <row r="643" spans="92:95" x14ac:dyDescent="0.2">
      <c r="CN643" s="399"/>
      <c r="CQ643" s="766"/>
    </row>
    <row r="644" spans="92:95" x14ac:dyDescent="0.2">
      <c r="CN644" s="399"/>
      <c r="CQ644" s="766"/>
    </row>
    <row r="645" spans="92:95" x14ac:dyDescent="0.2">
      <c r="CN645" s="399"/>
      <c r="CQ645" s="766"/>
    </row>
    <row r="646" spans="92:95" x14ac:dyDescent="0.2">
      <c r="CN646" s="399"/>
      <c r="CQ646" s="766"/>
    </row>
    <row r="647" spans="92:95" x14ac:dyDescent="0.2">
      <c r="CN647" s="399"/>
      <c r="CQ647" s="766"/>
    </row>
    <row r="648" spans="92:95" x14ac:dyDescent="0.2">
      <c r="CN648" s="399"/>
      <c r="CQ648" s="766"/>
    </row>
    <row r="649" spans="92:95" x14ac:dyDescent="0.2">
      <c r="CN649" s="399"/>
      <c r="CQ649" s="766"/>
    </row>
    <row r="650" spans="92:95" x14ac:dyDescent="0.2">
      <c r="CN650" s="399"/>
      <c r="CQ650" s="766"/>
    </row>
    <row r="651" spans="92:95" x14ac:dyDescent="0.2">
      <c r="CN651" s="399"/>
      <c r="CQ651" s="766"/>
    </row>
    <row r="652" spans="92:95" x14ac:dyDescent="0.2">
      <c r="CN652" s="399"/>
      <c r="CQ652" s="766"/>
    </row>
    <row r="653" spans="92:95" x14ac:dyDescent="0.2">
      <c r="CN653" s="399"/>
      <c r="CQ653" s="766"/>
    </row>
    <row r="654" spans="92:95" x14ac:dyDescent="0.2">
      <c r="CN654" s="399"/>
      <c r="CQ654" s="766"/>
    </row>
    <row r="655" spans="92:95" x14ac:dyDescent="0.2">
      <c r="CN655" s="399"/>
      <c r="CQ655" s="766"/>
    </row>
    <row r="656" spans="92:95" x14ac:dyDescent="0.2">
      <c r="CN656" s="399"/>
      <c r="CQ656" s="766"/>
    </row>
    <row r="657" spans="92:95" x14ac:dyDescent="0.2">
      <c r="CN657" s="399"/>
      <c r="CQ657" s="766"/>
    </row>
    <row r="658" spans="92:95" x14ac:dyDescent="0.2">
      <c r="CN658" s="399"/>
      <c r="CQ658" s="766"/>
    </row>
    <row r="659" spans="92:95" x14ac:dyDescent="0.2">
      <c r="CN659" s="399"/>
      <c r="CQ659" s="766"/>
    </row>
    <row r="660" spans="92:95" x14ac:dyDescent="0.2"/>
    <row r="661" spans="92:95" x14ac:dyDescent="0.2"/>
    <row r="662" spans="92:95" x14ac:dyDescent="0.2"/>
    <row r="663" spans="92:95" x14ac:dyDescent="0.2"/>
    <row r="664" spans="92:95" x14ac:dyDescent="0.2"/>
    <row r="665" spans="92:95" x14ac:dyDescent="0.2"/>
    <row r="666" spans="92:95" x14ac:dyDescent="0.2"/>
    <row r="667" spans="92:95" x14ac:dyDescent="0.2"/>
    <row r="668" spans="92:95" x14ac:dyDescent="0.2"/>
    <row r="669" spans="92:95" x14ac:dyDescent="0.2"/>
    <row r="670" spans="92:95" x14ac:dyDescent="0.2"/>
    <row r="671" spans="92:95" x14ac:dyDescent="0.2"/>
    <row r="672" spans="92:95" x14ac:dyDescent="0.2"/>
    <row r="673" spans="92:95" s="544" customFormat="1" x14ac:dyDescent="0.2">
      <c r="CN673" s="545"/>
      <c r="CQ673" s="763"/>
    </row>
    <row r="674" spans="92:95" s="544" customFormat="1" x14ac:dyDescent="0.2">
      <c r="CN674" s="545"/>
      <c r="CQ674" s="763"/>
    </row>
    <row r="675" spans="92:95" s="544" customFormat="1" x14ac:dyDescent="0.2">
      <c r="CN675" s="545"/>
      <c r="CQ675" s="763"/>
    </row>
    <row r="676" spans="92:95" s="544" customFormat="1" x14ac:dyDescent="0.2">
      <c r="CN676" s="545"/>
      <c r="CQ676" s="763"/>
    </row>
    <row r="677" spans="92:95" s="544" customFormat="1" x14ac:dyDescent="0.2">
      <c r="CN677" s="545"/>
      <c r="CQ677" s="763"/>
    </row>
    <row r="678" spans="92:95" s="544" customFormat="1" x14ac:dyDescent="0.2">
      <c r="CN678" s="545"/>
      <c r="CQ678" s="763"/>
    </row>
    <row r="679" spans="92:95" s="544" customFormat="1" x14ac:dyDescent="0.2">
      <c r="CN679" s="545"/>
      <c r="CQ679" s="763"/>
    </row>
    <row r="680" spans="92:95" s="544" customFormat="1" x14ac:dyDescent="0.2">
      <c r="CN680" s="545"/>
      <c r="CQ680" s="763"/>
    </row>
    <row r="681" spans="92:95" s="544" customFormat="1" x14ac:dyDescent="0.2">
      <c r="CN681" s="545"/>
      <c r="CQ681" s="763"/>
    </row>
    <row r="682" spans="92:95" s="544" customFormat="1" x14ac:dyDescent="0.2">
      <c r="CN682" s="545"/>
      <c r="CQ682" s="763"/>
    </row>
    <row r="683" spans="92:95" s="544" customFormat="1" x14ac:dyDescent="0.2">
      <c r="CN683" s="545"/>
      <c r="CQ683" s="763"/>
    </row>
    <row r="684" spans="92:95" s="544" customFormat="1" x14ac:dyDescent="0.2">
      <c r="CN684" s="545"/>
      <c r="CQ684" s="763"/>
    </row>
    <row r="685" spans="92:95" s="544" customFormat="1" x14ac:dyDescent="0.2">
      <c r="CN685" s="545"/>
      <c r="CQ685" s="763"/>
    </row>
    <row r="686" spans="92:95" s="544" customFormat="1" x14ac:dyDescent="0.2">
      <c r="CN686" s="545"/>
      <c r="CQ686" s="763"/>
    </row>
    <row r="687" spans="92:95" s="544" customFormat="1" x14ac:dyDescent="0.2">
      <c r="CN687" s="545"/>
      <c r="CQ687" s="763"/>
    </row>
    <row r="688" spans="92:95" s="544" customFormat="1" x14ac:dyDescent="0.2">
      <c r="CN688" s="545"/>
      <c r="CQ688" s="763"/>
    </row>
    <row r="689" spans="92:95" s="544" customFormat="1" x14ac:dyDescent="0.2">
      <c r="CN689" s="545"/>
      <c r="CQ689" s="763"/>
    </row>
    <row r="690" spans="92:95" s="544" customFormat="1" x14ac:dyDescent="0.2">
      <c r="CN690" s="545"/>
      <c r="CQ690" s="763"/>
    </row>
    <row r="691" spans="92:95" s="544" customFormat="1" x14ac:dyDescent="0.2">
      <c r="CN691" s="545"/>
      <c r="CQ691" s="763"/>
    </row>
    <row r="692" spans="92:95" s="544" customFormat="1" x14ac:dyDescent="0.2">
      <c r="CN692" s="545"/>
      <c r="CQ692" s="763"/>
    </row>
    <row r="693" spans="92:95" s="544" customFormat="1" x14ac:dyDescent="0.2">
      <c r="CN693" s="545"/>
      <c r="CQ693" s="763"/>
    </row>
    <row r="694" spans="92:95" s="544" customFormat="1" x14ac:dyDescent="0.2">
      <c r="CN694" s="545"/>
      <c r="CQ694" s="763"/>
    </row>
    <row r="695" spans="92:95" s="544" customFormat="1" x14ac:dyDescent="0.2">
      <c r="CN695" s="545"/>
      <c r="CQ695" s="763"/>
    </row>
    <row r="696" spans="92:95" s="544" customFormat="1" x14ac:dyDescent="0.2">
      <c r="CN696" s="545"/>
      <c r="CQ696" s="763"/>
    </row>
    <row r="697" spans="92:95" s="544" customFormat="1" x14ac:dyDescent="0.2">
      <c r="CN697" s="545"/>
      <c r="CQ697" s="763"/>
    </row>
    <row r="698" spans="92:95" s="544" customFormat="1" x14ac:dyDescent="0.2">
      <c r="CN698" s="545"/>
      <c r="CQ698" s="763"/>
    </row>
    <row r="699" spans="92:95" s="544" customFormat="1" x14ac:dyDescent="0.2">
      <c r="CN699" s="545"/>
      <c r="CQ699" s="763"/>
    </row>
    <row r="700" spans="92:95" s="544" customFormat="1" x14ac:dyDescent="0.2">
      <c r="CN700" s="545"/>
      <c r="CQ700" s="763"/>
    </row>
    <row r="701" spans="92:95" s="544" customFormat="1" x14ac:dyDescent="0.2">
      <c r="CN701" s="545"/>
      <c r="CQ701" s="763"/>
    </row>
    <row r="702" spans="92:95" s="544" customFormat="1" x14ac:dyDescent="0.2">
      <c r="CN702" s="545"/>
      <c r="CQ702" s="763"/>
    </row>
    <row r="703" spans="92:95" s="544" customFormat="1" x14ac:dyDescent="0.2">
      <c r="CN703" s="545"/>
      <c r="CQ703" s="763"/>
    </row>
    <row r="704" spans="92:95" s="544" customFormat="1" x14ac:dyDescent="0.2">
      <c r="CN704" s="545"/>
      <c r="CQ704" s="763"/>
    </row>
    <row r="705" spans="92:95" s="544" customFormat="1" x14ac:dyDescent="0.2">
      <c r="CN705" s="545"/>
      <c r="CQ705" s="763"/>
    </row>
    <row r="706" spans="92:95" s="544" customFormat="1" x14ac:dyDescent="0.2">
      <c r="CN706" s="545"/>
      <c r="CQ706" s="763"/>
    </row>
    <row r="707" spans="92:95" s="544" customFormat="1" x14ac:dyDescent="0.2">
      <c r="CN707" s="545"/>
      <c r="CQ707" s="763"/>
    </row>
    <row r="708" spans="92:95" s="544" customFormat="1" x14ac:dyDescent="0.2">
      <c r="CN708" s="545"/>
      <c r="CQ708" s="763"/>
    </row>
    <row r="709" spans="92:95" s="544" customFormat="1" x14ac:dyDescent="0.2">
      <c r="CN709" s="545"/>
      <c r="CQ709" s="763"/>
    </row>
    <row r="710" spans="92:95" s="544" customFormat="1" x14ac:dyDescent="0.2">
      <c r="CN710" s="545"/>
      <c r="CQ710" s="763"/>
    </row>
    <row r="711" spans="92:95" s="544" customFormat="1" x14ac:dyDescent="0.2">
      <c r="CN711" s="545"/>
      <c r="CQ711" s="763"/>
    </row>
    <row r="712" spans="92:95" s="544" customFormat="1" x14ac:dyDescent="0.2">
      <c r="CN712" s="545"/>
      <c r="CQ712" s="763"/>
    </row>
    <row r="713" spans="92:95" s="544" customFormat="1" x14ac:dyDescent="0.2">
      <c r="CN713" s="545"/>
      <c r="CQ713" s="763"/>
    </row>
    <row r="714" spans="92:95" s="544" customFormat="1" x14ac:dyDescent="0.2">
      <c r="CN714" s="545"/>
      <c r="CQ714" s="763"/>
    </row>
    <row r="715" spans="92:95" s="544" customFormat="1" x14ac:dyDescent="0.2">
      <c r="CN715" s="545"/>
      <c r="CQ715" s="763"/>
    </row>
    <row r="716" spans="92:95" s="544" customFormat="1" x14ac:dyDescent="0.2">
      <c r="CN716" s="545"/>
      <c r="CQ716" s="763"/>
    </row>
    <row r="717" spans="92:95" s="544" customFormat="1" x14ac:dyDescent="0.2">
      <c r="CN717" s="545"/>
      <c r="CQ717" s="763"/>
    </row>
    <row r="718" spans="92:95" s="544" customFormat="1" x14ac:dyDescent="0.2">
      <c r="CN718" s="545"/>
      <c r="CQ718" s="763"/>
    </row>
    <row r="719" spans="92:95" s="544" customFormat="1" x14ac:dyDescent="0.2">
      <c r="CN719" s="545"/>
      <c r="CQ719" s="763"/>
    </row>
    <row r="720" spans="92:95" s="544" customFormat="1" x14ac:dyDescent="0.2">
      <c r="CN720" s="545"/>
      <c r="CQ720" s="763"/>
    </row>
    <row r="721" spans="92:95" s="544" customFormat="1" x14ac:dyDescent="0.2">
      <c r="CN721" s="545"/>
      <c r="CQ721" s="763"/>
    </row>
    <row r="722" spans="92:95" s="544" customFormat="1" x14ac:dyDescent="0.2">
      <c r="CN722" s="545"/>
      <c r="CQ722" s="763"/>
    </row>
    <row r="723" spans="92:95" s="544" customFormat="1" x14ac:dyDescent="0.2">
      <c r="CN723" s="545"/>
      <c r="CQ723" s="763"/>
    </row>
    <row r="724" spans="92:95" s="544" customFormat="1" x14ac:dyDescent="0.2">
      <c r="CN724" s="545"/>
      <c r="CQ724" s="763"/>
    </row>
    <row r="725" spans="92:95" s="544" customFormat="1" x14ac:dyDescent="0.2">
      <c r="CN725" s="545"/>
      <c r="CQ725" s="763"/>
    </row>
    <row r="726" spans="92:95" s="544" customFormat="1" x14ac:dyDescent="0.2">
      <c r="CN726" s="545"/>
      <c r="CQ726" s="763"/>
    </row>
    <row r="727" spans="92:95" s="544" customFormat="1" x14ac:dyDescent="0.2">
      <c r="CN727" s="545"/>
      <c r="CQ727" s="763"/>
    </row>
    <row r="728" spans="92:95" s="544" customFormat="1" x14ac:dyDescent="0.2">
      <c r="CN728" s="545"/>
      <c r="CQ728" s="763"/>
    </row>
    <row r="729" spans="92:95" s="544" customFormat="1" x14ac:dyDescent="0.2">
      <c r="CN729" s="545"/>
      <c r="CQ729" s="763"/>
    </row>
    <row r="730" spans="92:95" s="544" customFormat="1" x14ac:dyDescent="0.2">
      <c r="CN730" s="545"/>
      <c r="CQ730" s="763"/>
    </row>
    <row r="731" spans="92:95" s="544" customFormat="1" x14ac:dyDescent="0.2">
      <c r="CN731" s="545"/>
      <c r="CQ731" s="763"/>
    </row>
    <row r="732" spans="92:95" s="544" customFormat="1" x14ac:dyDescent="0.2">
      <c r="CN732" s="545"/>
      <c r="CQ732" s="763"/>
    </row>
    <row r="733" spans="92:95" s="544" customFormat="1" x14ac:dyDescent="0.2">
      <c r="CN733" s="545"/>
      <c r="CQ733" s="763"/>
    </row>
    <row r="734" spans="92:95" s="544" customFormat="1" x14ac:dyDescent="0.2">
      <c r="CN734" s="545"/>
      <c r="CQ734" s="763"/>
    </row>
    <row r="735" spans="92:95" s="544" customFormat="1" x14ac:dyDescent="0.2">
      <c r="CN735" s="545"/>
      <c r="CQ735" s="763"/>
    </row>
    <row r="736" spans="92:95" s="544" customFormat="1" x14ac:dyDescent="0.2">
      <c r="CN736" s="545"/>
      <c r="CQ736" s="763"/>
    </row>
    <row r="737" spans="92:95" s="544" customFormat="1" x14ac:dyDescent="0.2">
      <c r="CN737" s="545"/>
      <c r="CQ737" s="763"/>
    </row>
    <row r="738" spans="92:95" s="544" customFormat="1" x14ac:dyDescent="0.2">
      <c r="CN738" s="545"/>
      <c r="CQ738" s="763"/>
    </row>
    <row r="739" spans="92:95" s="544" customFormat="1" x14ac:dyDescent="0.2">
      <c r="CN739" s="545"/>
      <c r="CQ739" s="763"/>
    </row>
    <row r="740" spans="92:95" s="544" customFormat="1" x14ac:dyDescent="0.2">
      <c r="CN740" s="545"/>
      <c r="CQ740" s="763"/>
    </row>
    <row r="741" spans="92:95" s="544" customFormat="1" x14ac:dyDescent="0.2">
      <c r="CN741" s="545"/>
      <c r="CQ741" s="763"/>
    </row>
    <row r="742" spans="92:95" s="544" customFormat="1" x14ac:dyDescent="0.2">
      <c r="CN742" s="545"/>
      <c r="CQ742" s="763"/>
    </row>
    <row r="743" spans="92:95" s="544" customFormat="1" x14ac:dyDescent="0.2">
      <c r="CN743" s="545"/>
      <c r="CQ743" s="763"/>
    </row>
    <row r="744" spans="92:95" s="544" customFormat="1" x14ac:dyDescent="0.2">
      <c r="CN744" s="545"/>
      <c r="CQ744" s="763"/>
    </row>
    <row r="745" spans="92:95" s="544" customFormat="1" x14ac:dyDescent="0.2">
      <c r="CN745" s="545"/>
      <c r="CQ745" s="763"/>
    </row>
    <row r="746" spans="92:95" s="544" customFormat="1" x14ac:dyDescent="0.2">
      <c r="CN746" s="545"/>
      <c r="CQ746" s="763"/>
    </row>
    <row r="747" spans="92:95" s="544" customFormat="1" x14ac:dyDescent="0.2">
      <c r="CN747" s="545"/>
      <c r="CQ747" s="763"/>
    </row>
    <row r="748" spans="92:95" s="544" customFormat="1" x14ac:dyDescent="0.2">
      <c r="CN748" s="545"/>
      <c r="CQ748" s="763"/>
    </row>
    <row r="749" spans="92:95" s="544" customFormat="1" x14ac:dyDescent="0.2">
      <c r="CN749" s="545"/>
      <c r="CQ749" s="763"/>
    </row>
    <row r="750" spans="92:95" s="544" customFormat="1" x14ac:dyDescent="0.2">
      <c r="CN750" s="545"/>
      <c r="CQ750" s="763"/>
    </row>
    <row r="751" spans="92:95" s="544" customFormat="1" x14ac:dyDescent="0.2">
      <c r="CN751" s="545"/>
      <c r="CQ751" s="763"/>
    </row>
    <row r="752" spans="92:95" s="544" customFormat="1" x14ac:dyDescent="0.2">
      <c r="CN752" s="545"/>
      <c r="CQ752" s="763"/>
    </row>
    <row r="753" spans="92:95" s="544" customFormat="1" x14ac:dyDescent="0.2">
      <c r="CN753" s="545"/>
      <c r="CQ753" s="763"/>
    </row>
    <row r="754" spans="92:95" s="544" customFormat="1" x14ac:dyDescent="0.2">
      <c r="CN754" s="545"/>
      <c r="CQ754" s="763"/>
    </row>
    <row r="755" spans="92:95" s="544" customFormat="1" x14ac:dyDescent="0.2">
      <c r="CN755" s="545"/>
      <c r="CQ755" s="763"/>
    </row>
    <row r="756" spans="92:95" s="544" customFormat="1" x14ac:dyDescent="0.2">
      <c r="CN756" s="545"/>
      <c r="CQ756" s="763"/>
    </row>
    <row r="757" spans="92:95" s="544" customFormat="1" x14ac:dyDescent="0.2">
      <c r="CN757" s="545"/>
      <c r="CQ757" s="763"/>
    </row>
    <row r="758" spans="92:95" s="544" customFormat="1" x14ac:dyDescent="0.2">
      <c r="CN758" s="545"/>
      <c r="CQ758" s="763"/>
    </row>
    <row r="759" spans="92:95" s="544" customFormat="1" x14ac:dyDescent="0.2">
      <c r="CN759" s="545"/>
      <c r="CQ759" s="763"/>
    </row>
    <row r="760" spans="92:95" s="544" customFormat="1" x14ac:dyDescent="0.2">
      <c r="CN760" s="545"/>
      <c r="CQ760" s="763"/>
    </row>
    <row r="761" spans="92:95" s="544" customFormat="1" x14ac:dyDescent="0.2">
      <c r="CN761" s="545"/>
      <c r="CQ761" s="763"/>
    </row>
    <row r="762" spans="92:95" s="544" customFormat="1" x14ac:dyDescent="0.2">
      <c r="CN762" s="545"/>
      <c r="CQ762" s="763"/>
    </row>
    <row r="763" spans="92:95" s="544" customFormat="1" x14ac:dyDescent="0.2">
      <c r="CN763" s="545"/>
      <c r="CQ763" s="763"/>
    </row>
    <row r="764" spans="92:95" s="544" customFormat="1" x14ac:dyDescent="0.2">
      <c r="CN764" s="545"/>
      <c r="CQ764" s="763"/>
    </row>
    <row r="765" spans="92:95" s="544" customFormat="1" x14ac:dyDescent="0.2">
      <c r="CN765" s="545"/>
      <c r="CQ765" s="763"/>
    </row>
    <row r="766" spans="92:95" x14ac:dyDescent="0.2"/>
    <row r="767" spans="92:95" x14ac:dyDescent="0.2"/>
    <row r="768" spans="92:95" x14ac:dyDescent="0.2"/>
    <row r="769" spans="92:95" x14ac:dyDescent="0.2"/>
    <row r="770" spans="92:95" x14ac:dyDescent="0.2"/>
    <row r="771" spans="92:95" x14ac:dyDescent="0.2"/>
    <row r="772" spans="92:95" x14ac:dyDescent="0.2">
      <c r="CN772" s="399"/>
      <c r="CQ772" s="766"/>
    </row>
    <row r="773" spans="92:95" x14ac:dyDescent="0.2">
      <c r="CN773" s="399"/>
      <c r="CQ773" s="766"/>
    </row>
    <row r="774" spans="92:95" x14ac:dyDescent="0.2">
      <c r="CN774" s="399"/>
      <c r="CQ774" s="766"/>
    </row>
    <row r="775" spans="92:95" x14ac:dyDescent="0.2">
      <c r="CN775" s="399"/>
      <c r="CQ775" s="766"/>
    </row>
    <row r="776" spans="92:95" x14ac:dyDescent="0.2">
      <c r="CN776" s="399"/>
      <c r="CQ776" s="766"/>
    </row>
    <row r="777" spans="92:95" x14ac:dyDescent="0.2">
      <c r="CN777" s="399"/>
      <c r="CQ777" s="766"/>
    </row>
    <row r="778" spans="92:95" x14ac:dyDescent="0.2">
      <c r="CN778" s="399"/>
      <c r="CQ778" s="766"/>
    </row>
    <row r="779" spans="92:95" x14ac:dyDescent="0.2">
      <c r="CN779" s="399"/>
      <c r="CQ779" s="766"/>
    </row>
    <row r="780" spans="92:95" x14ac:dyDescent="0.2">
      <c r="CN780" s="399"/>
      <c r="CQ780" s="766"/>
    </row>
    <row r="781" spans="92:95" x14ac:dyDescent="0.2">
      <c r="CN781" s="399"/>
      <c r="CQ781" s="766"/>
    </row>
    <row r="782" spans="92:95" x14ac:dyDescent="0.2"/>
    <row r="783" spans="92:95" x14ac:dyDescent="0.2"/>
  </sheetData>
  <sheetProtection algorithmName="SHA-512" hashValue="elWfXJolFGyeM4m3aIxvJKTxGv8DT+Af4OHHIKn+JPt7yYW96PLSsYGOaU+DTIL5rNf+npE9GRsI3FWSO0oVsg==" saltValue="J/oCtu3WW+XZUCynMJCajA==" spinCount="100000" sheet="1" objects="1" scenarios="1"/>
  <mergeCells count="416">
    <mergeCell ref="M205:N205"/>
    <mergeCell ref="M199:N199"/>
    <mergeCell ref="M200:N200"/>
    <mergeCell ref="M201:N201"/>
    <mergeCell ref="M202:N202"/>
    <mergeCell ref="M196:N196"/>
    <mergeCell ref="M198:N198"/>
    <mergeCell ref="M197:N197"/>
    <mergeCell ref="I183:K183"/>
    <mergeCell ref="I189:K189"/>
    <mergeCell ref="M190:N190"/>
    <mergeCell ref="I190:K190"/>
    <mergeCell ref="I188:K188"/>
    <mergeCell ref="M185:N185"/>
    <mergeCell ref="I185:K185"/>
    <mergeCell ref="I187:K187"/>
    <mergeCell ref="M186:N186"/>
    <mergeCell ref="I192:K192"/>
    <mergeCell ref="M204:N204"/>
    <mergeCell ref="M203:N203"/>
    <mergeCell ref="M194:N194"/>
    <mergeCell ref="M193:N193"/>
    <mergeCell ref="M195:N195"/>
    <mergeCell ref="M184:N184"/>
    <mergeCell ref="M192:N192"/>
    <mergeCell ref="O177:P177"/>
    <mergeCell ref="O159:P159"/>
    <mergeCell ref="O160:P160"/>
    <mergeCell ref="O192:P192"/>
    <mergeCell ref="O191:P191"/>
    <mergeCell ref="M187:N187"/>
    <mergeCell ref="O187:P187"/>
    <mergeCell ref="O185:P185"/>
    <mergeCell ref="O188:P188"/>
    <mergeCell ref="O190:P190"/>
    <mergeCell ref="O189:P189"/>
    <mergeCell ref="O186:P186"/>
    <mergeCell ref="O170:P170"/>
    <mergeCell ref="O172:P172"/>
    <mergeCell ref="M181:N181"/>
    <mergeCell ref="M182:N182"/>
    <mergeCell ref="M167:N167"/>
    <mergeCell ref="O171:P171"/>
    <mergeCell ref="O167:P167"/>
    <mergeCell ref="I184:K184"/>
    <mergeCell ref="I181:K181"/>
    <mergeCell ref="O181:P181"/>
    <mergeCell ref="O182:P182"/>
    <mergeCell ref="O179:P179"/>
    <mergeCell ref="O183:P183"/>
    <mergeCell ref="O180:P180"/>
    <mergeCell ref="H150:H151"/>
    <mergeCell ref="O176:P176"/>
    <mergeCell ref="O184:P184"/>
    <mergeCell ref="O155:P155"/>
    <mergeCell ref="O178:P178"/>
    <mergeCell ref="O154:P154"/>
    <mergeCell ref="O156:P156"/>
    <mergeCell ref="O174:P174"/>
    <mergeCell ref="O175:P175"/>
    <mergeCell ref="I176:K176"/>
    <mergeCell ref="O169:P169"/>
    <mergeCell ref="I167:K167"/>
    <mergeCell ref="I171:K171"/>
    <mergeCell ref="I169:K169"/>
    <mergeCell ref="I170:K170"/>
    <mergeCell ref="M171:N171"/>
    <mergeCell ref="M168:N168"/>
    <mergeCell ref="I191:K191"/>
    <mergeCell ref="I186:K186"/>
    <mergeCell ref="L150:L151"/>
    <mergeCell ref="I174:K174"/>
    <mergeCell ref="M177:N177"/>
    <mergeCell ref="M180:N180"/>
    <mergeCell ref="I179:K179"/>
    <mergeCell ref="I175:K175"/>
    <mergeCell ref="I182:K182"/>
    <mergeCell ref="M176:N176"/>
    <mergeCell ref="M191:N191"/>
    <mergeCell ref="M183:N183"/>
    <mergeCell ref="M188:N188"/>
    <mergeCell ref="M155:N155"/>
    <mergeCell ref="M179:N179"/>
    <mergeCell ref="M178:N178"/>
    <mergeCell ref="M189:N189"/>
    <mergeCell ref="M159:N159"/>
    <mergeCell ref="M172:N172"/>
    <mergeCell ref="I177:K177"/>
    <mergeCell ref="I154:K154"/>
    <mergeCell ref="M157:N157"/>
    <mergeCell ref="M169:N169"/>
    <mergeCell ref="M170:N170"/>
    <mergeCell ref="CH15:CJ18"/>
    <mergeCell ref="AB47:AC47"/>
    <mergeCell ref="N47:O47"/>
    <mergeCell ref="I39:K39"/>
    <mergeCell ref="AB39:AD39"/>
    <mergeCell ref="N39:P39"/>
    <mergeCell ref="M31:O31"/>
    <mergeCell ref="AB40:AD40"/>
    <mergeCell ref="N40:P40"/>
    <mergeCell ref="M28:O28"/>
    <mergeCell ref="T16:U16"/>
    <mergeCell ref="I46:K46"/>
    <mergeCell ref="G32:I33"/>
    <mergeCell ref="E18:G18"/>
    <mergeCell ref="CB12:CE12"/>
    <mergeCell ref="C4:C14"/>
    <mergeCell ref="CB6:CE6"/>
    <mergeCell ref="M6:O6"/>
    <mergeCell ref="M8:O8"/>
    <mergeCell ref="CD8:CE8"/>
    <mergeCell ref="F60:G61"/>
    <mergeCell ref="J66:K66"/>
    <mergeCell ref="F64:G64"/>
    <mergeCell ref="I49:K49"/>
    <mergeCell ref="F54:G54"/>
    <mergeCell ref="I52:K52"/>
    <mergeCell ref="L60:M61"/>
    <mergeCell ref="H62:I62"/>
    <mergeCell ref="L54:M54"/>
    <mergeCell ref="F66:G66"/>
    <mergeCell ref="H66:I66"/>
    <mergeCell ref="I54:K54"/>
    <mergeCell ref="CB13:CB14"/>
    <mergeCell ref="M18:O18"/>
    <mergeCell ref="AB42:AD42"/>
    <mergeCell ref="AB51:AD51"/>
    <mergeCell ref="N42:P42"/>
    <mergeCell ref="N44:P44"/>
    <mergeCell ref="AB54:AD54"/>
    <mergeCell ref="N51:P51"/>
    <mergeCell ref="AB52:AC52"/>
    <mergeCell ref="AB44:AD44"/>
    <mergeCell ref="AB49:AC49"/>
    <mergeCell ref="N48:P48"/>
    <mergeCell ref="AB48:AD48"/>
    <mergeCell ref="N49:O49"/>
    <mergeCell ref="AE62:AG62"/>
    <mergeCell ref="AE61:AG61"/>
    <mergeCell ref="Y59:Y61"/>
    <mergeCell ref="N52:O52"/>
    <mergeCell ref="AE72:AG72"/>
    <mergeCell ref="AE68:AG68"/>
    <mergeCell ref="AE79:AG79"/>
    <mergeCell ref="AE66:AG66"/>
    <mergeCell ref="AE64:AG64"/>
    <mergeCell ref="AE77:AG77"/>
    <mergeCell ref="AB56:AD56"/>
    <mergeCell ref="AE81:AG81"/>
    <mergeCell ref="AE74:AG74"/>
    <mergeCell ref="AE85:AG85"/>
    <mergeCell ref="AE91:AG91"/>
    <mergeCell ref="AE105:AZ107"/>
    <mergeCell ref="AE83:AG83"/>
    <mergeCell ref="G128:J129"/>
    <mergeCell ref="M109:P113"/>
    <mergeCell ref="Q109:S113"/>
    <mergeCell ref="G109:H113"/>
    <mergeCell ref="N89:P89"/>
    <mergeCell ref="J88:K89"/>
    <mergeCell ref="N88:P88"/>
    <mergeCell ref="AK127:AO128"/>
    <mergeCell ref="I109:L113"/>
    <mergeCell ref="F85:G85"/>
    <mergeCell ref="G114:H116"/>
    <mergeCell ref="G125:J127"/>
    <mergeCell ref="Q85:S85"/>
    <mergeCell ref="Q83:R83"/>
    <mergeCell ref="L88:M89"/>
    <mergeCell ref="CS86:CU86"/>
    <mergeCell ref="CB87:CE87"/>
    <mergeCell ref="AE89:AG89"/>
    <mergeCell ref="T90:T93"/>
    <mergeCell ref="AE88:AG88"/>
    <mergeCell ref="R88:S88"/>
    <mergeCell ref="R91:S91"/>
    <mergeCell ref="R90:S90"/>
    <mergeCell ref="BH112:BJ114"/>
    <mergeCell ref="BB112:BD114"/>
    <mergeCell ref="AM109:AP113"/>
    <mergeCell ref="AM114:AP115"/>
    <mergeCell ref="BH115:BJ116"/>
    <mergeCell ref="BE112:BG114"/>
    <mergeCell ref="AV114:AX115"/>
    <mergeCell ref="BB115:BD116"/>
    <mergeCell ref="AQ109:AT113"/>
    <mergeCell ref="BE115:BG116"/>
    <mergeCell ref="AV109:AX113"/>
    <mergeCell ref="AQ114:AT115"/>
    <mergeCell ref="AI109:AL113"/>
    <mergeCell ref="AI114:AL115"/>
    <mergeCell ref="AF109:AG113"/>
    <mergeCell ref="D132:E133"/>
    <mergeCell ref="I114:L116"/>
    <mergeCell ref="D114:E116"/>
    <mergeCell ref="K125:N127"/>
    <mergeCell ref="H132:I133"/>
    <mergeCell ref="M153:N153"/>
    <mergeCell ref="K128:N129"/>
    <mergeCell ref="I150:K151"/>
    <mergeCell ref="G150:G151"/>
    <mergeCell ref="M150:N151"/>
    <mergeCell ref="AM141:AO143"/>
    <mergeCell ref="AK124:AO126"/>
    <mergeCell ref="Q114:S116"/>
    <mergeCell ref="M156:N156"/>
    <mergeCell ref="AF114:AG115"/>
    <mergeCell ref="Q162:R162"/>
    <mergeCell ref="Q154:R154"/>
    <mergeCell ref="Q160:R160"/>
    <mergeCell ref="AM144:AM145"/>
    <mergeCell ref="Q153:R153"/>
    <mergeCell ref="Q155:R155"/>
    <mergeCell ref="Q157:R157"/>
    <mergeCell ref="O148:P149"/>
    <mergeCell ref="M158:N158"/>
    <mergeCell ref="M160:N160"/>
    <mergeCell ref="O157:P157"/>
    <mergeCell ref="O161:P161"/>
    <mergeCell ref="M162:N162"/>
    <mergeCell ref="O162:P162"/>
    <mergeCell ref="M161:N161"/>
    <mergeCell ref="O158:P158"/>
    <mergeCell ref="AF127:AI128"/>
    <mergeCell ref="AF124:AI126"/>
    <mergeCell ref="Q150:R151"/>
    <mergeCell ref="Q192:R192"/>
    <mergeCell ref="Q190:R190"/>
    <mergeCell ref="Q191:R191"/>
    <mergeCell ref="Q186:R186"/>
    <mergeCell ref="Q181:R181"/>
    <mergeCell ref="Q172:R172"/>
    <mergeCell ref="AP124:AR126"/>
    <mergeCell ref="AN144:AO145"/>
    <mergeCell ref="AP127:AR128"/>
    <mergeCell ref="Q182:R182"/>
    <mergeCell ref="Q173:R173"/>
    <mergeCell ref="Q159:R159"/>
    <mergeCell ref="Q164:R164"/>
    <mergeCell ref="Q161:R161"/>
    <mergeCell ref="Q189:R189"/>
    <mergeCell ref="Q178:R178"/>
    <mergeCell ref="Q177:R177"/>
    <mergeCell ref="Q187:R187"/>
    <mergeCell ref="Q176:R176"/>
    <mergeCell ref="Q188:R188"/>
    <mergeCell ref="Q185:R185"/>
    <mergeCell ref="Q183:R183"/>
    <mergeCell ref="Q184:R184"/>
    <mergeCell ref="Q174:R174"/>
    <mergeCell ref="J77:K77"/>
    <mergeCell ref="H83:I83"/>
    <mergeCell ref="H79:I79"/>
    <mergeCell ref="F83:G83"/>
    <mergeCell ref="H72:I72"/>
    <mergeCell ref="H81:I81"/>
    <mergeCell ref="J74:K74"/>
    <mergeCell ref="N75:P75"/>
    <mergeCell ref="N81:P81"/>
    <mergeCell ref="H74:I74"/>
    <mergeCell ref="N83:P83"/>
    <mergeCell ref="H77:I77"/>
    <mergeCell ref="I160:K160"/>
    <mergeCell ref="I164:K164"/>
    <mergeCell ref="M154:N154"/>
    <mergeCell ref="G97:N98"/>
    <mergeCell ref="L85:M85"/>
    <mergeCell ref="F89:I89"/>
    <mergeCell ref="N85:P85"/>
    <mergeCell ref="J132:L133"/>
    <mergeCell ref="O165:P165"/>
    <mergeCell ref="J92:K92"/>
    <mergeCell ref="I153:K153"/>
    <mergeCell ref="I158:K158"/>
    <mergeCell ref="I159:K159"/>
    <mergeCell ref="L91:M91"/>
    <mergeCell ref="O164:P164"/>
    <mergeCell ref="I157:K157"/>
    <mergeCell ref="I162:K162"/>
    <mergeCell ref="I163:K163"/>
    <mergeCell ref="O163:P163"/>
    <mergeCell ref="M163:N163"/>
    <mergeCell ref="M164:N164"/>
    <mergeCell ref="N91:P91"/>
    <mergeCell ref="Q180:R180"/>
    <mergeCell ref="I155:K155"/>
    <mergeCell ref="I156:K156"/>
    <mergeCell ref="Q171:R171"/>
    <mergeCell ref="Q158:R158"/>
    <mergeCell ref="Q166:R166"/>
    <mergeCell ref="Q156:R156"/>
    <mergeCell ref="I172:K172"/>
    <mergeCell ref="I180:K180"/>
    <mergeCell ref="I178:K178"/>
    <mergeCell ref="I173:K173"/>
    <mergeCell ref="I166:K166"/>
    <mergeCell ref="M166:N166"/>
    <mergeCell ref="I168:K168"/>
    <mergeCell ref="M175:N175"/>
    <mergeCell ref="Q168:R168"/>
    <mergeCell ref="Q167:R167"/>
    <mergeCell ref="Q170:R170"/>
    <mergeCell ref="Q169:R169"/>
    <mergeCell ref="M174:N174"/>
    <mergeCell ref="Q165:R165"/>
    <mergeCell ref="Q163:R163"/>
    <mergeCell ref="I165:K165"/>
    <mergeCell ref="I161:K161"/>
    <mergeCell ref="E88:E89"/>
    <mergeCell ref="Q179:R179"/>
    <mergeCell ref="O166:P166"/>
    <mergeCell ref="M165:N165"/>
    <mergeCell ref="O153:P153"/>
    <mergeCell ref="L72:M72"/>
    <mergeCell ref="M173:N173"/>
    <mergeCell ref="O168:P168"/>
    <mergeCell ref="L83:M83"/>
    <mergeCell ref="J83:K83"/>
    <mergeCell ref="J85:K85"/>
    <mergeCell ref="F79:G79"/>
    <mergeCell ref="M114:P116"/>
    <mergeCell ref="D137:S139"/>
    <mergeCell ref="D102:G104"/>
    <mergeCell ref="J79:K79"/>
    <mergeCell ref="J81:K81"/>
    <mergeCell ref="D109:E113"/>
    <mergeCell ref="F72:G72"/>
    <mergeCell ref="J72:K72"/>
    <mergeCell ref="F74:G74"/>
    <mergeCell ref="H85:I85"/>
    <mergeCell ref="Q175:R175"/>
    <mergeCell ref="O173:P173"/>
    <mergeCell ref="Q64:S64"/>
    <mergeCell ref="I40:K40"/>
    <mergeCell ref="I44:K44"/>
    <mergeCell ref="I42:K42"/>
    <mergeCell ref="L44:M44"/>
    <mergeCell ref="L42:M42"/>
    <mergeCell ref="L40:M40"/>
    <mergeCell ref="I47:K47"/>
    <mergeCell ref="N64:P64"/>
    <mergeCell ref="N56:P56"/>
    <mergeCell ref="N54:P54"/>
    <mergeCell ref="H64:I64"/>
    <mergeCell ref="J64:K64"/>
    <mergeCell ref="J60:K61"/>
    <mergeCell ref="H60:I61"/>
    <mergeCell ref="Q62:S62"/>
    <mergeCell ref="J62:K62"/>
    <mergeCell ref="L62:M62"/>
    <mergeCell ref="Q74:S74"/>
    <mergeCell ref="N66:P66"/>
    <mergeCell ref="Q81:S81"/>
    <mergeCell ref="N74:P74"/>
    <mergeCell ref="N77:P77"/>
    <mergeCell ref="H70:I70"/>
    <mergeCell ref="Q77:S77"/>
    <mergeCell ref="Q72:S72"/>
    <mergeCell ref="Q68:S68"/>
    <mergeCell ref="Q66:S66"/>
    <mergeCell ref="L81:M81"/>
    <mergeCell ref="L77:M77"/>
    <mergeCell ref="N79:P79"/>
    <mergeCell ref="L68:M68"/>
    <mergeCell ref="J70:K70"/>
    <mergeCell ref="L70:M70"/>
    <mergeCell ref="N70:P70"/>
    <mergeCell ref="Q79:S79"/>
    <mergeCell ref="N68:P68"/>
    <mergeCell ref="N72:P72"/>
    <mergeCell ref="L79:M79"/>
    <mergeCell ref="J68:K68"/>
    <mergeCell ref="H68:I68"/>
    <mergeCell ref="L74:M74"/>
    <mergeCell ref="D60:D93"/>
    <mergeCell ref="I31:J31"/>
    <mergeCell ref="F48:G48"/>
    <mergeCell ref="N62:P62"/>
    <mergeCell ref="F88:I88"/>
    <mergeCell ref="F81:G81"/>
    <mergeCell ref="F77:G77"/>
    <mergeCell ref="L75:M75"/>
    <mergeCell ref="H75:I75"/>
    <mergeCell ref="J91:K91"/>
    <mergeCell ref="F91:I92"/>
    <mergeCell ref="L64:M64"/>
    <mergeCell ref="L56:M56"/>
    <mergeCell ref="I48:K48"/>
    <mergeCell ref="I51:K51"/>
    <mergeCell ref="L51:M51"/>
    <mergeCell ref="L48:M48"/>
    <mergeCell ref="N60:P61"/>
    <mergeCell ref="F39:G39"/>
    <mergeCell ref="F32:F33"/>
    <mergeCell ref="L39:M39"/>
    <mergeCell ref="F44:G44"/>
    <mergeCell ref="F51:G51"/>
    <mergeCell ref="D39:D57"/>
    <mergeCell ref="F70:G70"/>
    <mergeCell ref="F68:G68"/>
    <mergeCell ref="M12:O12"/>
    <mergeCell ref="M14:O14"/>
    <mergeCell ref="M20:O20"/>
    <mergeCell ref="M22:O22"/>
    <mergeCell ref="M24:O24"/>
    <mergeCell ref="M26:O26"/>
    <mergeCell ref="M27:O27"/>
    <mergeCell ref="L46:M46"/>
    <mergeCell ref="N46:P46"/>
    <mergeCell ref="E19:G19"/>
    <mergeCell ref="F62:G62"/>
    <mergeCell ref="F40:G40"/>
    <mergeCell ref="F42:G42"/>
    <mergeCell ref="F46:G46"/>
    <mergeCell ref="L66:M66"/>
  </mergeCells>
  <phoneticPr fontId="2" type="noConversion"/>
  <conditionalFormatting sqref="T28:U29 P29">
    <cfRule type="expression" dxfId="23" priority="42" stopIfTrue="1">
      <formula>NOT(ISERROR(SEARCH("ERRO",P28)))</formula>
    </cfRule>
  </conditionalFormatting>
  <conditionalFormatting sqref="Q62 Q66 G97 Q85 Q81 Q74:Q75 Q72 Q69:Q70">
    <cfRule type="cellIs" dxfId="22" priority="43" stopIfTrue="1" operator="equal">
      <formula>"OK"</formula>
    </cfRule>
  </conditionalFormatting>
  <conditionalFormatting sqref="G153:G192">
    <cfRule type="cellIs" dxfId="21" priority="44" stopIfTrue="1" operator="equal">
      <formula>$AM$114</formula>
    </cfRule>
  </conditionalFormatting>
  <conditionalFormatting sqref="Q85:R85 Q83:R83">
    <cfRule type="cellIs" dxfId="20" priority="45" stopIfTrue="1" operator="equal">
      <formula>"OK"</formula>
    </cfRule>
    <cfRule type="cellIs" dxfId="19" priority="46" stopIfTrue="1" operator="equal">
      <formula>""</formula>
    </cfRule>
  </conditionalFormatting>
  <conditionalFormatting sqref="F32:F33">
    <cfRule type="expression" dxfId="18" priority="54" stopIfTrue="1">
      <formula>$F$32&lt;&gt;"ok"</formula>
    </cfRule>
  </conditionalFormatting>
  <conditionalFormatting sqref="S85 S83">
    <cfRule type="cellIs" dxfId="17" priority="69" stopIfTrue="1" operator="equal">
      <formula>"Parc. Máx. Excedido"</formula>
    </cfRule>
  </conditionalFormatting>
  <conditionalFormatting sqref="F91">
    <cfRule type="containsText" dxfId="16" priority="30" stopIfTrue="1" operator="containsText" text="Pró- Soluto">
      <formula>NOT(ISERROR(SEARCH("Pró- Soluto",F91)))</formula>
    </cfRule>
  </conditionalFormatting>
  <conditionalFormatting sqref="F94:I94 F91">
    <cfRule type="cellIs" dxfId="15" priority="29" stopIfTrue="1" operator="equal">
      <formula>"Pró-Soluto acima do permitido"</formula>
    </cfRule>
  </conditionalFormatting>
  <conditionalFormatting sqref="Q77">
    <cfRule type="cellIs" dxfId="14" priority="19" stopIfTrue="1" operator="equal">
      <formula>"OK"</formula>
    </cfRule>
  </conditionalFormatting>
  <conditionalFormatting sqref="Q79">
    <cfRule type="cellIs" dxfId="13" priority="17" stopIfTrue="1" operator="equal">
      <formula>"OK"</formula>
    </cfRule>
  </conditionalFormatting>
  <conditionalFormatting sqref="Q69:Q70">
    <cfRule type="cellIs" dxfId="12" priority="16" stopIfTrue="1" operator="equal">
      <formula>"OK"</formula>
    </cfRule>
  </conditionalFormatting>
  <conditionalFormatting sqref="H4:N4">
    <cfRule type="containsText" dxfId="11" priority="14" operator="containsText" text="Para Renda Superior a R$ 5.500,00 utilizar Somente TABELA SAC">
      <formula>NOT(ISERROR(SEARCH("Para Renda Superior a R$ 5.500,00 utilizar Somente TABELA SAC",H4)))</formula>
    </cfRule>
  </conditionalFormatting>
  <conditionalFormatting sqref="G32">
    <cfRule type="cellIs" dxfId="10" priority="13" stopIfTrue="1" operator="equal">
      <formula>"cliente fora do PMCMV, mudar p/ SAC"</formula>
    </cfRule>
  </conditionalFormatting>
  <conditionalFormatting sqref="M34">
    <cfRule type="containsText" dxfId="9" priority="11" stopIfTrue="1" operator="containsText" text="Price">
      <formula>NOT(ISERROR(SEARCH("Price",M34)))</formula>
    </cfRule>
    <cfRule type="cellIs" dxfId="8" priority="12" stopIfTrue="1" operator="equal">
      <formula>"Price - Financia Somente em 240 meses"</formula>
    </cfRule>
  </conditionalFormatting>
  <conditionalFormatting sqref="E33 M34 J33:L33">
    <cfRule type="containsText" dxfId="7" priority="10" stopIfTrue="1" operator="containsText" text="Renda até R$ 5.000,00 Price - Financia Até 360 meses - Superior à R$ 5.000,00 somente em 240 meses">
      <formula>NOT(ISERROR(SEARCH("Renda até R$ 5.000,00 Price - Financia Até 360 meses - Superior à R$ 5.000,00 somente em 240 meses",E33)))</formula>
    </cfRule>
  </conditionalFormatting>
  <conditionalFormatting sqref="H3">
    <cfRule type="expression" dxfId="6" priority="27">
      <formula>$H$3="TABELA PRICE"</formula>
    </cfRule>
    <cfRule type="expression" dxfId="5" priority="28">
      <formula>$H$3="TABELA SAC"</formula>
    </cfRule>
  </conditionalFormatting>
  <conditionalFormatting sqref="R91:R92">
    <cfRule type="expression" dxfId="4" priority="101" stopIfTrue="1">
      <formula>#REF!&lt;&gt;M8</formula>
    </cfRule>
  </conditionalFormatting>
  <conditionalFormatting sqref="J92">
    <cfRule type="cellIs" dxfId="3" priority="1" operator="greaterThan">
      <formula>0.15</formula>
    </cfRule>
  </conditionalFormatting>
  <dataValidations xWindow="975" yWindow="607" count="29">
    <dataValidation type="list" allowBlank="1" showInputMessage="1" showErrorMessage="1" sqref="E72 E85 E77 E83 E48 E51 E79 E75">
      <formula1>$BO$37:$BO$47</formula1>
    </dataValidation>
    <dataValidation allowBlank="1" showInputMessage="1" showErrorMessage="1" error="Opção Inválida!" sqref="F31"/>
    <dataValidation type="list" allowBlank="1" showInputMessage="1" showErrorMessage="1" error="Seleção Inválida!" sqref="R89">
      <formula1>$AA$72:$AA$73</formula1>
    </dataValidation>
    <dataValidation type="list" allowBlank="1" showInputMessage="1" showErrorMessage="1" sqref="E69">
      <formula1>$BO$37:$BO$48</formula1>
    </dataValidation>
    <dataValidation type="custom" operator="lessThanOrEqual" allowBlank="1" showInputMessage="1" showErrorMessage="1" errorTitle="Parcelas Anuais" error="A última parcela anual não deve ultrapassar Maio/2022." promptTitle="Parcelas Anuais" prompt="A última parcela anual não deve ultrapassar Maio/2022." sqref="F77:G77">
      <formula1>AP87="ok"</formula1>
    </dataValidation>
    <dataValidation type="whole" operator="lessThanOrEqual" allowBlank="1" showErrorMessage="1" promptTitle="Parcelas Mensais" prompt="A quantidade de parcelas mensais não pode ultrapassar de _x000a_" sqref="F74:G75">
      <formula1>E93</formula1>
    </dataValidation>
    <dataValidation type="whole" operator="lessThan" allowBlank="1" showInputMessage="1" showErrorMessage="1" sqref="J75:K75">
      <formula1>5</formula1>
    </dataValidation>
    <dataValidation type="whole" operator="greaterThanOrEqual" allowBlank="1" showInputMessage="1" showErrorMessage="1" sqref="E23">
      <formula1>0</formula1>
    </dataValidation>
    <dataValidation allowBlank="1" showInputMessage="1" showErrorMessage="1" prompt="No caso de apenas 1 comprador, verificar se o cliente possui dependente comprovado. Se sim, preencher como 2 proponentes para aumento do subsídio." sqref="D21:D22"/>
    <dataValidation errorStyle="warning" allowBlank="1" showInputMessage="1" error="Prazo excedido!" sqref="D24 L25:L26 M26 K25:K27 M25:O25 I30:J30 T30:X31 P30:P32"/>
    <dataValidation type="list" allowBlank="1" showInputMessage="1" showErrorMessage="1" sqref="E22 E24">
      <formula1>INDIRECT("APOIO!H1:H2")</formula1>
    </dataValidation>
    <dataValidation allowBlank="1" showInputMessage="1" showErrorMessage="1" promptTitle="Aprovação Pendente" prompt="Acima de 15%, pedir aprovação ao Victor Medeiros." sqref="J92"/>
    <dataValidation type="whole" operator="lessThanOrEqual" allowBlank="1" showInputMessage="1" showErrorMessage="1" sqref="J74:K74">
      <formula1>4</formula1>
    </dataValidation>
    <dataValidation allowBlank="1" showInputMessage="1" showErrorMessage="1" promptTitle="Parcelas + ITBI/Registro" prompt="Pró soluto + ITBI e Registro " sqref="N75:P75"/>
    <dataValidation type="whole" operator="lessThanOrEqual" allowBlank="1" showInputMessage="1" showErrorMessage="1" sqref="F70:G70">
      <formula1>2</formula1>
    </dataValidation>
    <dataValidation type="list" allowBlank="1" showInputMessage="1" showErrorMessage="1" sqref="E22 E24">
      <formula1>#REF!</formula1>
    </dataValidation>
    <dataValidation type="list" allowBlank="1" showInputMessage="1" showErrorMessage="1" error="CADASTRA EMPRESA DE VENDAS" sqref="M12">
      <formula1>$BV$7:$BV$8</formula1>
    </dataValidation>
    <dataValidation allowBlank="1" showInputMessage="1" showErrorMessage="1" error="CADASTRAR EMPREENDIMENTO EM &quot;DADOS DOS EMPREENDIMENTOS&quot;" sqref="H6:L6"/>
    <dataValidation allowBlank="1" showInputMessage="1" showErrorMessage="1" promptTitle="Parcelas com ITBI e Registro" prompt="Parcelas com ITBI e Registro inseridos." sqref="H75:I75"/>
    <dataValidation type="decimal" operator="lessThanOrEqual" allowBlank="1" showErrorMessage="1" error="Valor superior ao permitido." sqref="P89">
      <formula1>P28</formula1>
    </dataValidation>
    <dataValidation type="decimal" operator="lessThanOrEqual" allowBlank="1" showErrorMessage="1" error="Valor superior ao permitido." sqref="O89">
      <formula1>O22</formula1>
    </dataValidation>
    <dataValidation type="decimal" operator="lessThanOrEqual" allowBlank="1" showErrorMessage="1" error="Valor superior ao permitido." sqref="N89">
      <formula1>M22</formula1>
    </dataValidation>
    <dataValidation type="list" errorStyle="warning" allowBlank="1" showInputMessage="1" error="Prazo excedido!" sqref="E25">
      <formula1>$CN$87:$CN$92</formula1>
    </dataValidation>
    <dataValidation type="list" allowBlank="1" showInputMessage="1" showErrorMessage="1" sqref="E20">
      <formula1>$CO$88:$CO$117</formula1>
    </dataValidation>
    <dataValidation type="list" allowBlank="1" showInputMessage="1" showErrorMessage="1" sqref="F20">
      <formula1>$CP$88:$CP$98</formula1>
    </dataValidation>
    <dataValidation type="list" allowBlank="1" showInputMessage="1" showErrorMessage="1" sqref="G20">
      <formula1>$CQ$88:$CQ$159</formula1>
    </dataValidation>
    <dataValidation type="list" allowBlank="1" showInputMessage="1" showErrorMessage="1" sqref="H3">
      <formula1>$Y$14:$Y$15</formula1>
    </dataValidation>
    <dataValidation type="list" allowBlank="1" showInputMessage="1" showErrorMessage="1" sqref="E21">
      <formula1>$W$21:$W$22</formula1>
    </dataValidation>
    <dataValidation type="custom" allowBlank="1" showInputMessage="1" showErrorMessage="1" errorTitle="Parcelas Anuais" error="A última parcela anual não deve ultrapassar Maio/2022." promptTitle="Parcelas Anuais" prompt="A última parcela anual não deve ultrapassar Maio/2022." sqref="L77:M77">
      <formula1>AP87="ok"</formula1>
    </dataValidation>
  </dataValidations>
  <printOptions horizontalCentered="1" verticalCentered="1"/>
  <pageMargins left="0.64" right="0.51181102362204722" top="0.35" bottom="0.28000000000000003" header="0.31496062992125984" footer="0.31496062992125984"/>
  <pageSetup paperSize="9" scale="24" orientation="portrait" r:id="rId1"/>
  <headerFooter alignWithMargins="0"/>
  <cellWatches>
    <cellWatch r="F20"/>
  </cellWatches>
  <ignoredErrors>
    <ignoredError sqref="H10 M14 H7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xWindow="975" yWindow="607" count="2">
        <x14:dataValidation type="list" allowBlank="1" showInputMessage="1" showErrorMessage="1">
          <x14:formula1>
            <xm:f>Apoio!$C$9:$C$473</xm:f>
          </x14:formula1>
          <xm:sqref>H8</xm:sqref>
        </x14:dataValidation>
        <x14:dataValidation type="list" allowBlank="1" showInputMessage="1" showErrorMessage="1">
          <x14:formula1>
            <xm:f>Apoio!$C$9:$C$243</xm:f>
          </x14:formula1>
          <xm:sqref>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tabColor rgb="FF00B050"/>
  </sheetPr>
  <dimension ref="B1:L520"/>
  <sheetViews>
    <sheetView showGridLines="0" zoomScale="70" zoomScaleNormal="70" workbookViewId="0">
      <selection activeCell="J24" sqref="J24"/>
    </sheetView>
  </sheetViews>
  <sheetFormatPr defaultRowHeight="12.75" x14ac:dyDescent="0.2"/>
  <cols>
    <col min="1" max="1" width="2" style="4" customWidth="1"/>
    <col min="2" max="2" width="20.42578125" style="4" customWidth="1"/>
    <col min="3" max="3" width="60.5703125" style="12" customWidth="1"/>
    <col min="4" max="4" width="23.28515625" style="12" customWidth="1"/>
    <col min="5" max="5" width="19.140625" style="4" customWidth="1"/>
    <col min="6" max="6" width="18.42578125" style="4" customWidth="1"/>
    <col min="7" max="7" width="18.140625" style="4" customWidth="1"/>
    <col min="8" max="8" width="16.85546875" style="4" customWidth="1"/>
    <col min="9" max="9" width="16.42578125" style="4" customWidth="1"/>
    <col min="10" max="10" width="17.140625" style="4" bestFit="1" customWidth="1"/>
    <col min="11" max="11" width="10.28515625" style="4" bestFit="1" customWidth="1"/>
    <col min="12" max="12" width="15.7109375" style="4" bestFit="1" customWidth="1"/>
    <col min="13" max="16384" width="9.140625" style="4"/>
  </cols>
  <sheetData>
    <row r="1" spans="2:12" x14ac:dyDescent="0.2">
      <c r="B1" s="1076" t="s">
        <v>130</v>
      </c>
      <c r="C1" s="1076"/>
      <c r="D1" s="1076"/>
      <c r="E1" s="1076"/>
      <c r="H1" s="358" t="s">
        <v>176</v>
      </c>
      <c r="I1" s="358" t="s">
        <v>384</v>
      </c>
      <c r="J1" s="4">
        <f>1*1.0003*1.0088*1.0058*1.0042*1.0046</f>
        <v>1.0239066520817557</v>
      </c>
    </row>
    <row r="2" spans="2:12" s="5" customFormat="1" ht="16.5" customHeight="1" x14ac:dyDescent="0.2">
      <c r="B2" s="51" t="s">
        <v>122</v>
      </c>
      <c r="C2" s="15"/>
      <c r="D2" s="15">
        <f>VLOOKUP('Simulador CEF'!H6,'DADOS DOS EMPREENDIMENTOS'!B10:C23,2,FALSE)</f>
        <v>3</v>
      </c>
      <c r="E2" s="52"/>
      <c r="H2" s="359" t="s">
        <v>175</v>
      </c>
      <c r="J2" s="760">
        <f>1*1.0003*1.0088*1.0058*1.0042</f>
        <v>1.0192182481403103</v>
      </c>
    </row>
    <row r="3" spans="2:12" s="5" customFormat="1" ht="17.25" customHeight="1" x14ac:dyDescent="0.2">
      <c r="B3" s="30" t="s">
        <v>90</v>
      </c>
      <c r="C3" s="15"/>
      <c r="D3" s="1077">
        <f>VLOOKUP(D2,'DADOS DOS EMPREENDIMENTOS'!A10:B23,2,FALSE)</f>
        <v>0</v>
      </c>
      <c r="E3" s="1078"/>
    </row>
    <row r="4" spans="2:12" s="5" customFormat="1" ht="21.75" customHeight="1" x14ac:dyDescent="0.2">
      <c r="B4" s="51" t="s">
        <v>135</v>
      </c>
      <c r="C4" s="15"/>
      <c r="D4" s="27"/>
      <c r="E4" s="53">
        <v>240000</v>
      </c>
    </row>
    <row r="5" spans="2:12" s="5" customFormat="1" x14ac:dyDescent="0.2">
      <c r="B5" s="1076" t="s">
        <v>131</v>
      </c>
      <c r="C5" s="1076"/>
      <c r="D5" s="1076"/>
      <c r="E5" s="1076"/>
    </row>
    <row r="6" spans="2:12" s="5" customFormat="1" x14ac:dyDescent="0.2">
      <c r="B6" s="1079"/>
      <c r="C6" s="54" t="s">
        <v>118</v>
      </c>
      <c r="D6" s="55" t="s">
        <v>128</v>
      </c>
      <c r="E6" s="55" t="s">
        <v>129</v>
      </c>
    </row>
    <row r="7" spans="2:12" s="56" customFormat="1" x14ac:dyDescent="0.2">
      <c r="B7" s="1080"/>
      <c r="C7" s="15">
        <f>VLOOKUP($D$2,'DADOS DOS EMPREENDIMENTOS'!$C$10:$H$23,4,FALSE)</f>
        <v>12</v>
      </c>
      <c r="D7" s="15">
        <f>VLOOKUP($D$2,'DADOS DOS EMPREENDIMENTOS'!$C$10:$H$23,5,FALSE)</f>
        <v>13</v>
      </c>
      <c r="E7" s="15">
        <f>VLOOKUP($D$2,'DADOS DOS EMPREENDIMENTOS'!$C$10:$H$23,6,FALSE)</f>
        <v>14</v>
      </c>
      <c r="F7" s="15">
        <f>VLOOKUP($D$2,'DADOS DOS EMPREENDIMENTOS'!$C$10:$N$23,12,FALSE)</f>
        <v>15</v>
      </c>
      <c r="L7" s="768"/>
    </row>
    <row r="8" spans="2:12" ht="24" customHeight="1" x14ac:dyDescent="0.2">
      <c r="B8" s="1081"/>
      <c r="C8" s="15" t="s">
        <v>116</v>
      </c>
      <c r="D8" s="15" t="s">
        <v>17</v>
      </c>
      <c r="E8" s="15" t="s">
        <v>16</v>
      </c>
      <c r="F8" s="15" t="s">
        <v>13</v>
      </c>
      <c r="G8" s="15" t="s">
        <v>385</v>
      </c>
      <c r="H8" s="359" t="s">
        <v>771</v>
      </c>
      <c r="I8" s="362">
        <v>248795</v>
      </c>
      <c r="J8" s="362">
        <v>248975</v>
      </c>
    </row>
    <row r="9" spans="2:12" ht="15" thickBot="1" x14ac:dyDescent="0.25">
      <c r="B9" s="16"/>
      <c r="C9" s="761" t="s">
        <v>256</v>
      </c>
      <c r="D9" s="355">
        <f t="shared" ref="D9:D69" si="0">ROUND((G9*$J$1)/$J$2,-1)</f>
        <v>215530</v>
      </c>
      <c r="E9" s="762">
        <v>220000</v>
      </c>
      <c r="F9" s="69"/>
      <c r="G9" s="355">
        <v>214542.22092071112</v>
      </c>
      <c r="H9" s="730">
        <f>D9</f>
        <v>215530</v>
      </c>
      <c r="I9" s="361"/>
      <c r="J9" s="361"/>
      <c r="K9" s="361"/>
      <c r="L9" s="361"/>
    </row>
    <row r="10" spans="2:12" ht="15" thickBot="1" x14ac:dyDescent="0.25">
      <c r="B10" s="16"/>
      <c r="C10" s="353" t="s">
        <v>257</v>
      </c>
      <c r="D10" s="355">
        <f t="shared" si="0"/>
        <v>215000</v>
      </c>
      <c r="E10" s="751">
        <v>220000</v>
      </c>
      <c r="F10" s="69"/>
      <c r="G10" s="355">
        <v>214018.54899747402</v>
      </c>
      <c r="H10" s="730">
        <f t="shared" ref="H10:H73" si="1">D10</f>
        <v>215000</v>
      </c>
      <c r="I10" s="361"/>
      <c r="J10" s="361"/>
      <c r="K10" s="361"/>
      <c r="L10" s="361"/>
    </row>
    <row r="11" spans="2:12" ht="15" thickBot="1" x14ac:dyDescent="0.25">
      <c r="B11" s="16"/>
      <c r="C11" s="353" t="s">
        <v>258</v>
      </c>
      <c r="D11" s="355">
        <f t="shared" si="0"/>
        <v>215000</v>
      </c>
      <c r="E11" s="751">
        <v>220000</v>
      </c>
      <c r="F11" s="69"/>
      <c r="G11" s="355">
        <v>214018.54899747402</v>
      </c>
      <c r="H11" s="730">
        <f t="shared" si="1"/>
        <v>215000</v>
      </c>
      <c r="I11" s="361"/>
      <c r="J11" s="361"/>
      <c r="K11" s="361"/>
      <c r="L11" s="361"/>
    </row>
    <row r="12" spans="2:12" ht="15" thickBot="1" x14ac:dyDescent="0.25">
      <c r="B12" s="16"/>
      <c r="C12" s="353" t="s">
        <v>259</v>
      </c>
      <c r="D12" s="355">
        <f t="shared" si="0"/>
        <v>214130</v>
      </c>
      <c r="E12" s="751">
        <v>220000</v>
      </c>
      <c r="F12" s="69"/>
      <c r="G12" s="355">
        <v>213151.33384983268</v>
      </c>
      <c r="H12" s="730">
        <f t="shared" si="1"/>
        <v>214130</v>
      </c>
      <c r="I12" s="361"/>
      <c r="J12" s="361"/>
      <c r="K12" s="361"/>
      <c r="L12" s="361"/>
    </row>
    <row r="13" spans="2:12" ht="15" thickBot="1" x14ac:dyDescent="0.25">
      <c r="B13" s="16"/>
      <c r="C13" s="353" t="s">
        <v>260</v>
      </c>
      <c r="D13" s="355">
        <f t="shared" si="0"/>
        <v>214130</v>
      </c>
      <c r="E13" s="751">
        <v>220000</v>
      </c>
      <c r="F13" s="69"/>
      <c r="G13" s="355">
        <v>213151.33384983268</v>
      </c>
      <c r="H13" s="730">
        <f t="shared" si="1"/>
        <v>214130</v>
      </c>
      <c r="I13" s="361"/>
      <c r="J13" s="361"/>
      <c r="K13" s="361"/>
      <c r="L13" s="361"/>
    </row>
    <row r="14" spans="2:12" ht="15" thickBot="1" x14ac:dyDescent="0.25">
      <c r="B14" s="16"/>
      <c r="C14" s="353" t="s">
        <v>261</v>
      </c>
      <c r="D14" s="355">
        <f t="shared" si="0"/>
        <v>215000</v>
      </c>
      <c r="E14" s="751">
        <v>220000</v>
      </c>
      <c r="F14" s="69"/>
      <c r="G14" s="355">
        <v>214018.54899747402</v>
      </c>
      <c r="H14" s="730">
        <f t="shared" si="1"/>
        <v>215000</v>
      </c>
      <c r="I14" s="361"/>
      <c r="J14" s="361"/>
      <c r="K14" s="361"/>
      <c r="L14" s="361"/>
    </row>
    <row r="15" spans="2:12" ht="15" thickBot="1" x14ac:dyDescent="0.25">
      <c r="B15" s="16"/>
      <c r="C15" s="353" t="s">
        <v>386</v>
      </c>
      <c r="D15" s="355">
        <f t="shared" si="0"/>
        <v>216670</v>
      </c>
      <c r="E15" s="751">
        <v>220000</v>
      </c>
      <c r="F15" s="69"/>
      <c r="G15" s="355">
        <v>215682.51632364813</v>
      </c>
      <c r="H15" s="730">
        <f t="shared" si="1"/>
        <v>216670</v>
      </c>
      <c r="I15" s="361"/>
      <c r="J15" s="361"/>
      <c r="K15" s="361"/>
      <c r="L15" s="361"/>
    </row>
    <row r="16" spans="2:12" ht="15" thickBot="1" x14ac:dyDescent="0.25">
      <c r="B16" s="16"/>
      <c r="C16" s="353" t="s">
        <v>262</v>
      </c>
      <c r="D16" s="355">
        <f t="shared" si="0"/>
        <v>220360</v>
      </c>
      <c r="E16" s="751">
        <v>220000</v>
      </c>
      <c r="F16" s="69"/>
      <c r="G16" s="355">
        <v>219350.67986179414</v>
      </c>
      <c r="H16" s="730">
        <f t="shared" si="1"/>
        <v>220360</v>
      </c>
      <c r="I16" s="361"/>
      <c r="J16" s="361"/>
      <c r="K16" s="361"/>
      <c r="L16" s="361"/>
    </row>
    <row r="17" spans="2:12" ht="15" thickBot="1" x14ac:dyDescent="0.25">
      <c r="B17" s="16"/>
      <c r="C17" s="353" t="s">
        <v>263</v>
      </c>
      <c r="D17" s="355">
        <f t="shared" si="0"/>
        <v>221250</v>
      </c>
      <c r="E17" s="751">
        <v>220000</v>
      </c>
      <c r="F17" s="69"/>
      <c r="G17" s="355">
        <v>220240.81916678051</v>
      </c>
      <c r="H17" s="730">
        <f t="shared" si="1"/>
        <v>221250</v>
      </c>
      <c r="I17" s="361"/>
      <c r="J17" s="361"/>
      <c r="K17" s="361"/>
      <c r="L17" s="361"/>
    </row>
    <row r="18" spans="2:12" ht="15" thickBot="1" x14ac:dyDescent="0.25">
      <c r="B18" s="16"/>
      <c r="C18" s="353" t="s">
        <v>264</v>
      </c>
      <c r="D18" s="355">
        <f t="shared" si="0"/>
        <v>221250</v>
      </c>
      <c r="E18" s="751">
        <v>220000</v>
      </c>
      <c r="F18" s="69"/>
      <c r="G18" s="355">
        <v>220240.81916678051</v>
      </c>
      <c r="H18" s="730">
        <f t="shared" si="1"/>
        <v>221250</v>
      </c>
      <c r="I18" s="361"/>
      <c r="J18" s="361"/>
      <c r="K18" s="361"/>
      <c r="L18" s="361"/>
    </row>
    <row r="19" spans="2:12" ht="15" thickBot="1" x14ac:dyDescent="0.25">
      <c r="B19" s="16"/>
      <c r="C19" s="353" t="s">
        <v>265</v>
      </c>
      <c r="D19" s="355">
        <f t="shared" si="0"/>
        <v>220360</v>
      </c>
      <c r="E19" s="751">
        <v>220000</v>
      </c>
      <c r="F19" s="69"/>
      <c r="G19" s="355">
        <v>219350.67986179414</v>
      </c>
      <c r="H19" s="730">
        <f t="shared" si="1"/>
        <v>220360</v>
      </c>
      <c r="I19" s="361"/>
      <c r="J19" s="361"/>
      <c r="K19" s="361"/>
      <c r="L19" s="361"/>
    </row>
    <row r="20" spans="2:12" ht="15" thickBot="1" x14ac:dyDescent="0.25">
      <c r="B20" s="16"/>
      <c r="C20" s="353" t="s">
        <v>266</v>
      </c>
      <c r="D20" s="355">
        <f t="shared" si="0"/>
        <v>220360</v>
      </c>
      <c r="E20" s="751">
        <v>220000</v>
      </c>
      <c r="F20" s="69"/>
      <c r="G20" s="355">
        <v>219350.67986179414</v>
      </c>
      <c r="H20" s="730">
        <f t="shared" si="1"/>
        <v>220360</v>
      </c>
      <c r="I20" s="361"/>
      <c r="J20" s="361"/>
      <c r="K20" s="361"/>
      <c r="L20" s="361"/>
    </row>
    <row r="21" spans="2:12" ht="15" thickBot="1" x14ac:dyDescent="0.25">
      <c r="B21" s="16"/>
      <c r="C21" s="353" t="s">
        <v>267</v>
      </c>
      <c r="D21" s="355">
        <f t="shared" si="0"/>
        <v>221250</v>
      </c>
      <c r="E21" s="751">
        <v>220000</v>
      </c>
      <c r="F21" s="69"/>
      <c r="G21" s="355">
        <v>220240.81916678051</v>
      </c>
      <c r="H21" s="730">
        <f t="shared" si="1"/>
        <v>221250</v>
      </c>
      <c r="I21" s="361"/>
      <c r="J21" s="361"/>
      <c r="K21" s="361"/>
      <c r="L21" s="361"/>
    </row>
    <row r="22" spans="2:12" ht="15" thickBot="1" x14ac:dyDescent="0.25">
      <c r="B22" s="16"/>
      <c r="C22" s="353" t="s">
        <v>268</v>
      </c>
      <c r="D22" s="355">
        <f t="shared" si="0"/>
        <v>221250</v>
      </c>
      <c r="E22" s="751">
        <v>220000</v>
      </c>
      <c r="F22" s="69"/>
      <c r="G22" s="355">
        <v>220240.81916678051</v>
      </c>
      <c r="H22" s="730">
        <f t="shared" si="1"/>
        <v>221250</v>
      </c>
      <c r="I22" s="361"/>
      <c r="J22" s="361"/>
      <c r="K22" s="361"/>
      <c r="L22" s="361"/>
    </row>
    <row r="23" spans="2:12" ht="15" thickBot="1" x14ac:dyDescent="0.25">
      <c r="B23" s="16"/>
      <c r="C23" s="353" t="s">
        <v>269</v>
      </c>
      <c r="D23" s="355">
        <f t="shared" si="0"/>
        <v>220360</v>
      </c>
      <c r="E23" s="751">
        <v>220000</v>
      </c>
      <c r="F23" s="69"/>
      <c r="G23" s="355">
        <v>219350.67986179414</v>
      </c>
      <c r="H23" s="730">
        <f t="shared" si="1"/>
        <v>220360</v>
      </c>
      <c r="I23" s="361"/>
      <c r="J23" s="361"/>
      <c r="K23" s="361"/>
      <c r="L23" s="361"/>
    </row>
    <row r="24" spans="2:12" ht="15" thickBot="1" x14ac:dyDescent="0.25">
      <c r="B24" s="16"/>
      <c r="C24" s="353" t="s">
        <v>270</v>
      </c>
      <c r="D24" s="355">
        <f t="shared" si="0"/>
        <v>220360</v>
      </c>
      <c r="E24" s="751">
        <v>220000</v>
      </c>
      <c r="F24" s="69"/>
      <c r="G24" s="355">
        <v>219350.67986179414</v>
      </c>
      <c r="H24" s="730">
        <f t="shared" si="1"/>
        <v>220360</v>
      </c>
      <c r="I24" s="361"/>
      <c r="J24" s="361"/>
      <c r="K24" s="361"/>
      <c r="L24" s="361"/>
    </row>
    <row r="25" spans="2:12" ht="15" thickBot="1" x14ac:dyDescent="0.25">
      <c r="B25" s="16"/>
      <c r="C25" s="353" t="s">
        <v>271</v>
      </c>
      <c r="D25" s="355">
        <f t="shared" si="0"/>
        <v>221250</v>
      </c>
      <c r="E25" s="751">
        <v>220000</v>
      </c>
      <c r="F25" s="69"/>
      <c r="G25" s="355">
        <v>220240.81916678051</v>
      </c>
      <c r="H25" s="730">
        <f t="shared" si="1"/>
        <v>221250</v>
      </c>
      <c r="I25" s="361"/>
      <c r="J25" s="361"/>
      <c r="K25" s="361"/>
      <c r="L25" s="361"/>
    </row>
    <row r="26" spans="2:12" ht="15" thickBot="1" x14ac:dyDescent="0.25">
      <c r="B26" s="16"/>
      <c r="C26" s="353" t="s">
        <v>272</v>
      </c>
      <c r="D26" s="355">
        <f t="shared" si="0"/>
        <v>221250</v>
      </c>
      <c r="E26" s="751">
        <v>220000</v>
      </c>
      <c r="F26" s="69"/>
      <c r="G26" s="355">
        <v>220240.81916678051</v>
      </c>
      <c r="H26" s="730">
        <f t="shared" si="1"/>
        <v>221250</v>
      </c>
      <c r="I26" s="361"/>
      <c r="J26" s="361"/>
      <c r="K26" s="361"/>
      <c r="L26" s="361"/>
    </row>
    <row r="27" spans="2:12" ht="15" thickBot="1" x14ac:dyDescent="0.25">
      <c r="B27" s="16"/>
      <c r="C27" s="353" t="s">
        <v>273</v>
      </c>
      <c r="D27" s="355">
        <f t="shared" si="0"/>
        <v>220360</v>
      </c>
      <c r="E27" s="751">
        <v>220000</v>
      </c>
      <c r="F27" s="69"/>
      <c r="G27" s="355">
        <v>219350.67986179414</v>
      </c>
      <c r="H27" s="730">
        <f t="shared" si="1"/>
        <v>220360</v>
      </c>
      <c r="I27" s="361"/>
      <c r="J27" s="361"/>
      <c r="K27" s="361"/>
      <c r="L27" s="361"/>
    </row>
    <row r="28" spans="2:12" ht="15" thickBot="1" x14ac:dyDescent="0.25">
      <c r="B28" s="16"/>
      <c r="C28" s="353" t="s">
        <v>274</v>
      </c>
      <c r="D28" s="355">
        <f t="shared" si="0"/>
        <v>220360</v>
      </c>
      <c r="E28" s="751">
        <v>220000</v>
      </c>
      <c r="F28" s="69"/>
      <c r="G28" s="355">
        <v>219350.67986179414</v>
      </c>
      <c r="H28" s="730">
        <f t="shared" si="1"/>
        <v>220360</v>
      </c>
      <c r="I28" s="361"/>
      <c r="J28" s="361"/>
      <c r="K28" s="361"/>
      <c r="L28" s="361"/>
    </row>
    <row r="29" spans="2:12" ht="15" thickBot="1" x14ac:dyDescent="0.25">
      <c r="B29" s="16"/>
      <c r="C29" s="353" t="s">
        <v>275</v>
      </c>
      <c r="D29" s="355">
        <f t="shared" si="0"/>
        <v>221250</v>
      </c>
      <c r="E29" s="751">
        <v>220000</v>
      </c>
      <c r="F29" s="69"/>
      <c r="G29" s="355">
        <v>220240.81916678051</v>
      </c>
      <c r="H29" s="730">
        <f t="shared" si="1"/>
        <v>221250</v>
      </c>
      <c r="I29" s="361"/>
      <c r="J29" s="361"/>
      <c r="K29" s="361"/>
      <c r="L29" s="361"/>
    </row>
    <row r="30" spans="2:12" ht="15" thickBot="1" x14ac:dyDescent="0.25">
      <c r="B30" s="16"/>
      <c r="C30" s="353" t="s">
        <v>276</v>
      </c>
      <c r="D30" s="355">
        <f t="shared" si="0"/>
        <v>221250</v>
      </c>
      <c r="E30" s="751">
        <v>220000</v>
      </c>
      <c r="F30" s="69"/>
      <c r="G30" s="355">
        <v>220240.81916678051</v>
      </c>
      <c r="H30" s="730">
        <f t="shared" si="1"/>
        <v>221250</v>
      </c>
      <c r="I30" s="361"/>
      <c r="J30" s="361"/>
      <c r="K30" s="361"/>
      <c r="L30" s="361"/>
    </row>
    <row r="31" spans="2:12" ht="15" thickBot="1" x14ac:dyDescent="0.25">
      <c r="B31" s="16"/>
      <c r="C31" s="353" t="s">
        <v>277</v>
      </c>
      <c r="D31" s="355">
        <f t="shared" si="0"/>
        <v>220360</v>
      </c>
      <c r="E31" s="751">
        <v>220000</v>
      </c>
      <c r="F31" s="69"/>
      <c r="G31" s="355">
        <v>219350.67986179414</v>
      </c>
      <c r="H31" s="730">
        <f t="shared" si="1"/>
        <v>220360</v>
      </c>
      <c r="I31" s="361"/>
      <c r="J31" s="361"/>
      <c r="K31" s="361"/>
      <c r="L31" s="361"/>
    </row>
    <row r="32" spans="2:12" ht="15" thickBot="1" x14ac:dyDescent="0.25">
      <c r="B32" s="16"/>
      <c r="C32" s="353" t="s">
        <v>278</v>
      </c>
      <c r="D32" s="355">
        <f t="shared" si="0"/>
        <v>221610</v>
      </c>
      <c r="E32" s="751">
        <v>220000</v>
      </c>
      <c r="F32" s="69"/>
      <c r="G32" s="355">
        <v>220590.56906418645</v>
      </c>
      <c r="H32" s="730">
        <f t="shared" si="1"/>
        <v>221610</v>
      </c>
      <c r="I32" s="361"/>
      <c r="J32" s="361"/>
      <c r="K32" s="361"/>
      <c r="L32" s="361"/>
    </row>
    <row r="33" spans="2:12" ht="15" thickBot="1" x14ac:dyDescent="0.25">
      <c r="B33" s="16"/>
      <c r="C33" s="353" t="s">
        <v>279</v>
      </c>
      <c r="D33" s="355">
        <f t="shared" si="0"/>
        <v>222500</v>
      </c>
      <c r="E33" s="751">
        <v>220000</v>
      </c>
      <c r="F33" s="69"/>
      <c r="G33" s="355">
        <v>221485.24120064182</v>
      </c>
      <c r="H33" s="730">
        <f t="shared" si="1"/>
        <v>222500</v>
      </c>
      <c r="I33" s="361"/>
      <c r="J33" s="361"/>
      <c r="K33" s="361"/>
      <c r="L33" s="361"/>
    </row>
    <row r="34" spans="2:12" ht="15" thickBot="1" x14ac:dyDescent="0.25">
      <c r="B34" s="16"/>
      <c r="C34" s="353" t="s">
        <v>280</v>
      </c>
      <c r="D34" s="355">
        <f t="shared" si="0"/>
        <v>222500</v>
      </c>
      <c r="E34" s="751">
        <v>220000</v>
      </c>
      <c r="F34" s="69"/>
      <c r="G34" s="355">
        <v>221485.24120064182</v>
      </c>
      <c r="H34" s="730">
        <f t="shared" si="1"/>
        <v>222500</v>
      </c>
      <c r="I34" s="361"/>
      <c r="J34" s="361"/>
      <c r="K34" s="361"/>
      <c r="L34" s="361"/>
    </row>
    <row r="35" spans="2:12" ht="15" thickBot="1" x14ac:dyDescent="0.25">
      <c r="B35" s="16"/>
      <c r="C35" s="353" t="s">
        <v>281</v>
      </c>
      <c r="D35" s="355">
        <f t="shared" si="0"/>
        <v>221610</v>
      </c>
      <c r="E35" s="751">
        <v>220000</v>
      </c>
      <c r="F35" s="69"/>
      <c r="G35" s="355">
        <v>220590.56906418645</v>
      </c>
      <c r="H35" s="730">
        <f t="shared" si="1"/>
        <v>221610</v>
      </c>
      <c r="I35" s="361"/>
      <c r="J35" s="361"/>
      <c r="K35" s="361"/>
      <c r="L35" s="361"/>
    </row>
    <row r="36" spans="2:12" ht="15" thickBot="1" x14ac:dyDescent="0.25">
      <c r="B36" s="16"/>
      <c r="C36" s="353" t="s">
        <v>282</v>
      </c>
      <c r="D36" s="355">
        <f t="shared" si="0"/>
        <v>221610</v>
      </c>
      <c r="E36" s="751">
        <v>220000</v>
      </c>
      <c r="F36" s="69"/>
      <c r="G36" s="355">
        <v>220590.56906418645</v>
      </c>
      <c r="H36" s="730">
        <f t="shared" si="1"/>
        <v>221610</v>
      </c>
      <c r="I36" s="361"/>
      <c r="J36" s="361"/>
      <c r="K36" s="361"/>
      <c r="L36" s="361"/>
    </row>
    <row r="37" spans="2:12" ht="15" thickBot="1" x14ac:dyDescent="0.25">
      <c r="B37" s="16"/>
      <c r="C37" s="353" t="s">
        <v>283</v>
      </c>
      <c r="D37" s="355">
        <f t="shared" si="0"/>
        <v>222500</v>
      </c>
      <c r="E37" s="751">
        <v>220000</v>
      </c>
      <c r="F37" s="69"/>
      <c r="G37" s="355">
        <v>221485.24120064182</v>
      </c>
      <c r="H37" s="730">
        <f t="shared" si="1"/>
        <v>222500</v>
      </c>
      <c r="I37" s="361"/>
      <c r="J37" s="361"/>
      <c r="K37" s="361"/>
      <c r="L37" s="361"/>
    </row>
    <row r="38" spans="2:12" ht="15" thickBot="1" x14ac:dyDescent="0.25">
      <c r="B38" s="16"/>
      <c r="C38" s="353" t="s">
        <v>284</v>
      </c>
      <c r="D38" s="355">
        <f t="shared" si="0"/>
        <v>222500</v>
      </c>
      <c r="E38" s="751">
        <v>220000</v>
      </c>
      <c r="F38" s="69"/>
      <c r="G38" s="355">
        <v>221485.24120064182</v>
      </c>
      <c r="H38" s="730">
        <f t="shared" si="1"/>
        <v>222500</v>
      </c>
      <c r="I38" s="361"/>
      <c r="J38" s="361"/>
      <c r="K38" s="361"/>
      <c r="L38" s="361"/>
    </row>
    <row r="39" spans="2:12" ht="15" thickBot="1" x14ac:dyDescent="0.25">
      <c r="B39" s="16"/>
      <c r="C39" s="353" t="s">
        <v>285</v>
      </c>
      <c r="D39" s="355">
        <f t="shared" si="0"/>
        <v>221610</v>
      </c>
      <c r="E39" s="751">
        <v>220000</v>
      </c>
      <c r="F39" s="69"/>
      <c r="G39" s="355">
        <v>220590.56906418645</v>
      </c>
      <c r="H39" s="730">
        <f t="shared" si="1"/>
        <v>221610</v>
      </c>
      <c r="I39" s="361"/>
      <c r="J39" s="361"/>
      <c r="K39" s="361"/>
      <c r="L39" s="361"/>
    </row>
    <row r="40" spans="2:12" ht="15" thickBot="1" x14ac:dyDescent="0.25">
      <c r="B40" s="16"/>
      <c r="C40" s="353" t="s">
        <v>286</v>
      </c>
      <c r="D40" s="355">
        <f t="shared" si="0"/>
        <v>221610</v>
      </c>
      <c r="E40" s="751">
        <v>220000</v>
      </c>
      <c r="F40" s="69"/>
      <c r="G40" s="355">
        <v>220590.56906418645</v>
      </c>
      <c r="H40" s="730">
        <f t="shared" si="1"/>
        <v>221610</v>
      </c>
      <c r="I40" s="361"/>
      <c r="J40" s="361"/>
      <c r="K40" s="361"/>
      <c r="L40" s="361"/>
    </row>
    <row r="41" spans="2:12" ht="15" thickBot="1" x14ac:dyDescent="0.25">
      <c r="B41" s="16"/>
      <c r="C41" s="353" t="s">
        <v>287</v>
      </c>
      <c r="D41" s="355">
        <f t="shared" si="0"/>
        <v>222500</v>
      </c>
      <c r="E41" s="751">
        <v>220000</v>
      </c>
      <c r="F41" s="69"/>
      <c r="G41" s="355">
        <v>221485.24120064182</v>
      </c>
      <c r="H41" s="730">
        <f t="shared" si="1"/>
        <v>222500</v>
      </c>
      <c r="I41" s="361"/>
      <c r="J41" s="361"/>
      <c r="K41" s="361"/>
      <c r="L41" s="361"/>
    </row>
    <row r="42" spans="2:12" ht="15" thickBot="1" x14ac:dyDescent="0.25">
      <c r="B42" s="16"/>
      <c r="C42" s="353" t="s">
        <v>288</v>
      </c>
      <c r="D42" s="355">
        <f t="shared" si="0"/>
        <v>222500</v>
      </c>
      <c r="E42" s="751">
        <v>220000</v>
      </c>
      <c r="F42" s="69"/>
      <c r="G42" s="355">
        <v>221485.24120064182</v>
      </c>
      <c r="H42" s="730">
        <f t="shared" si="1"/>
        <v>222500</v>
      </c>
      <c r="I42" s="361"/>
      <c r="J42" s="361"/>
      <c r="K42" s="361"/>
      <c r="L42" s="361"/>
    </row>
    <row r="43" spans="2:12" ht="15" thickBot="1" x14ac:dyDescent="0.25">
      <c r="B43" s="16"/>
      <c r="C43" s="353" t="s">
        <v>289</v>
      </c>
      <c r="D43" s="355">
        <f t="shared" si="0"/>
        <v>221610</v>
      </c>
      <c r="E43" s="751">
        <v>220000</v>
      </c>
      <c r="F43" s="69"/>
      <c r="G43" s="355">
        <v>220590.56906418645</v>
      </c>
      <c r="H43" s="730">
        <f t="shared" si="1"/>
        <v>221610</v>
      </c>
      <c r="I43" s="361"/>
      <c r="J43" s="361"/>
      <c r="K43" s="361"/>
      <c r="L43" s="361"/>
    </row>
    <row r="44" spans="2:12" ht="15" thickBot="1" x14ac:dyDescent="0.25">
      <c r="B44" s="16"/>
      <c r="C44" s="353" t="s">
        <v>290</v>
      </c>
      <c r="D44" s="355">
        <f t="shared" si="0"/>
        <v>221610</v>
      </c>
      <c r="E44" s="751">
        <v>220000</v>
      </c>
      <c r="F44" s="69"/>
      <c r="G44" s="355">
        <v>220590.56906418645</v>
      </c>
      <c r="H44" s="730">
        <f t="shared" si="1"/>
        <v>221610</v>
      </c>
      <c r="I44" s="361"/>
      <c r="J44" s="361"/>
      <c r="K44" s="361"/>
      <c r="L44" s="361"/>
    </row>
    <row r="45" spans="2:12" ht="15" thickBot="1" x14ac:dyDescent="0.25">
      <c r="B45" s="16"/>
      <c r="C45" s="353" t="s">
        <v>291</v>
      </c>
      <c r="D45" s="355">
        <f t="shared" si="0"/>
        <v>222500</v>
      </c>
      <c r="E45" s="751">
        <v>220000</v>
      </c>
      <c r="F45" s="69"/>
      <c r="G45" s="355">
        <v>221485.24120064182</v>
      </c>
      <c r="H45" s="730">
        <f t="shared" si="1"/>
        <v>222500</v>
      </c>
      <c r="I45" s="361"/>
      <c r="J45" s="361"/>
      <c r="K45" s="361"/>
      <c r="L45" s="361"/>
    </row>
    <row r="46" spans="2:12" ht="15" thickBot="1" x14ac:dyDescent="0.25">
      <c r="B46" s="16"/>
      <c r="C46" s="353" t="s">
        <v>292</v>
      </c>
      <c r="D46" s="355">
        <f t="shared" si="0"/>
        <v>222500</v>
      </c>
      <c r="E46" s="751">
        <v>220000</v>
      </c>
      <c r="F46" s="69"/>
      <c r="G46" s="355">
        <v>221485.24120064182</v>
      </c>
      <c r="H46" s="730">
        <f t="shared" si="1"/>
        <v>222500</v>
      </c>
      <c r="I46" s="361"/>
      <c r="J46" s="361"/>
      <c r="K46" s="361"/>
      <c r="L46" s="361"/>
    </row>
    <row r="47" spans="2:12" ht="15" thickBot="1" x14ac:dyDescent="0.25">
      <c r="B47" s="16"/>
      <c r="C47" s="353" t="s">
        <v>293</v>
      </c>
      <c r="D47" s="355">
        <f t="shared" si="0"/>
        <v>221610</v>
      </c>
      <c r="E47" s="751">
        <v>220000</v>
      </c>
      <c r="F47" s="69"/>
      <c r="G47" s="355">
        <v>220590.56906418645</v>
      </c>
      <c r="H47" s="730">
        <f t="shared" si="1"/>
        <v>221610</v>
      </c>
      <c r="I47" s="361"/>
      <c r="J47" s="361"/>
      <c r="K47" s="361"/>
      <c r="L47" s="361"/>
    </row>
    <row r="48" spans="2:12" ht="15" thickBot="1" x14ac:dyDescent="0.25">
      <c r="B48" s="16"/>
      <c r="C48" s="353" t="s">
        <v>294</v>
      </c>
      <c r="D48" s="355">
        <f t="shared" si="0"/>
        <v>222850</v>
      </c>
      <c r="E48" s="751">
        <v>220000</v>
      </c>
      <c r="F48" s="69"/>
      <c r="G48" s="355">
        <v>221830.36826657873</v>
      </c>
      <c r="H48" s="730">
        <f t="shared" si="1"/>
        <v>222850</v>
      </c>
      <c r="I48" s="361"/>
      <c r="J48" s="361"/>
      <c r="K48" s="361"/>
      <c r="L48" s="361"/>
    </row>
    <row r="49" spans="2:12" ht="15" thickBot="1" x14ac:dyDescent="0.25">
      <c r="B49" s="16"/>
      <c r="C49" s="353" t="s">
        <v>295</v>
      </c>
      <c r="D49" s="355">
        <f t="shared" si="0"/>
        <v>223750</v>
      </c>
      <c r="E49" s="751">
        <v>220000</v>
      </c>
      <c r="F49" s="69"/>
      <c r="G49" s="355">
        <v>222729.68323450311</v>
      </c>
      <c r="H49" s="730">
        <f t="shared" si="1"/>
        <v>223750</v>
      </c>
      <c r="I49" s="361"/>
      <c r="J49" s="361"/>
      <c r="K49" s="361"/>
      <c r="L49" s="361"/>
    </row>
    <row r="50" spans="2:12" ht="15" thickBot="1" x14ac:dyDescent="0.25">
      <c r="B50" s="16"/>
      <c r="C50" s="353" t="s">
        <v>296</v>
      </c>
      <c r="D50" s="355">
        <f t="shared" si="0"/>
        <v>223750</v>
      </c>
      <c r="E50" s="751">
        <v>220000</v>
      </c>
      <c r="F50" s="69"/>
      <c r="G50" s="355">
        <v>222729.68323450311</v>
      </c>
      <c r="H50" s="730">
        <f t="shared" si="1"/>
        <v>223750</v>
      </c>
      <c r="I50" s="361"/>
      <c r="J50" s="361"/>
      <c r="K50" s="361"/>
      <c r="L50" s="361"/>
    </row>
    <row r="51" spans="2:12" ht="15" thickBot="1" x14ac:dyDescent="0.25">
      <c r="B51" s="16"/>
      <c r="C51" s="353" t="s">
        <v>297</v>
      </c>
      <c r="D51" s="355">
        <f t="shared" si="0"/>
        <v>222850</v>
      </c>
      <c r="E51" s="751">
        <v>220000</v>
      </c>
      <c r="F51" s="69"/>
      <c r="G51" s="355">
        <v>221830.36826657873</v>
      </c>
      <c r="H51" s="730">
        <f t="shared" si="1"/>
        <v>222850</v>
      </c>
      <c r="I51" s="361"/>
      <c r="J51" s="361"/>
      <c r="K51" s="361"/>
      <c r="L51" s="361"/>
    </row>
    <row r="52" spans="2:12" ht="15" thickBot="1" x14ac:dyDescent="0.25">
      <c r="B52" s="16"/>
      <c r="C52" s="353" t="s">
        <v>298</v>
      </c>
      <c r="D52" s="355">
        <f t="shared" si="0"/>
        <v>222850</v>
      </c>
      <c r="E52" s="751">
        <v>220000</v>
      </c>
      <c r="F52" s="69"/>
      <c r="G52" s="355">
        <v>221830.36826657873</v>
      </c>
      <c r="H52" s="730">
        <f t="shared" si="1"/>
        <v>222850</v>
      </c>
      <c r="I52" s="361"/>
      <c r="J52" s="361"/>
      <c r="K52" s="361"/>
      <c r="L52" s="361"/>
    </row>
    <row r="53" spans="2:12" ht="15" thickBot="1" x14ac:dyDescent="0.25">
      <c r="B53" s="16"/>
      <c r="C53" s="353" t="s">
        <v>299</v>
      </c>
      <c r="D53" s="355">
        <f t="shared" si="0"/>
        <v>223750</v>
      </c>
      <c r="E53" s="751">
        <v>220000</v>
      </c>
      <c r="F53" s="69"/>
      <c r="G53" s="355">
        <v>222729.68323450311</v>
      </c>
      <c r="H53" s="730">
        <f t="shared" si="1"/>
        <v>223750</v>
      </c>
      <c r="I53" s="361"/>
      <c r="J53" s="361"/>
      <c r="K53" s="361"/>
      <c r="L53" s="361"/>
    </row>
    <row r="54" spans="2:12" ht="15" thickBot="1" x14ac:dyDescent="0.25">
      <c r="B54" s="16"/>
      <c r="C54" s="353" t="s">
        <v>300</v>
      </c>
      <c r="D54" s="355">
        <f t="shared" si="0"/>
        <v>223750</v>
      </c>
      <c r="E54" s="751">
        <v>220000</v>
      </c>
      <c r="F54" s="69"/>
      <c r="G54" s="355">
        <v>222729.68323450311</v>
      </c>
      <c r="H54" s="730">
        <f t="shared" si="1"/>
        <v>223750</v>
      </c>
      <c r="I54" s="361"/>
      <c r="J54" s="361"/>
      <c r="K54" s="361"/>
      <c r="L54" s="361"/>
    </row>
    <row r="55" spans="2:12" ht="15" thickBot="1" x14ac:dyDescent="0.25">
      <c r="B55" s="16"/>
      <c r="C55" s="353" t="s">
        <v>301</v>
      </c>
      <c r="D55" s="355">
        <f t="shared" si="0"/>
        <v>222850</v>
      </c>
      <c r="E55" s="751">
        <v>220000</v>
      </c>
      <c r="F55" s="69"/>
      <c r="G55" s="355">
        <v>221830.36826657873</v>
      </c>
      <c r="H55" s="730">
        <f t="shared" si="1"/>
        <v>222850</v>
      </c>
      <c r="I55" s="361"/>
      <c r="J55" s="361"/>
      <c r="K55" s="361"/>
      <c r="L55" s="361"/>
    </row>
    <row r="56" spans="2:12" ht="15" thickBot="1" x14ac:dyDescent="0.25">
      <c r="B56" s="16"/>
      <c r="C56" s="353" t="s">
        <v>302</v>
      </c>
      <c r="D56" s="355">
        <f t="shared" si="0"/>
        <v>222850</v>
      </c>
      <c r="E56" s="751">
        <v>220000</v>
      </c>
      <c r="F56" s="69"/>
      <c r="G56" s="355">
        <v>221830.36826657873</v>
      </c>
      <c r="H56" s="730">
        <f t="shared" si="1"/>
        <v>222850</v>
      </c>
      <c r="I56" s="361"/>
      <c r="J56" s="361"/>
      <c r="K56" s="361"/>
      <c r="L56" s="361"/>
    </row>
    <row r="57" spans="2:12" ht="15" thickBot="1" x14ac:dyDescent="0.25">
      <c r="B57" s="16"/>
      <c r="C57" s="353" t="s">
        <v>303</v>
      </c>
      <c r="D57" s="355">
        <f t="shared" si="0"/>
        <v>223750</v>
      </c>
      <c r="E57" s="751">
        <v>220000</v>
      </c>
      <c r="F57" s="69"/>
      <c r="G57" s="355">
        <v>222729.68323450311</v>
      </c>
      <c r="H57" s="730">
        <f t="shared" si="1"/>
        <v>223750</v>
      </c>
      <c r="I57" s="361"/>
      <c r="J57" s="361"/>
      <c r="K57" s="361"/>
      <c r="L57" s="361"/>
    </row>
    <row r="58" spans="2:12" ht="15" thickBot="1" x14ac:dyDescent="0.25">
      <c r="B58" s="16"/>
      <c r="C58" s="353" t="s">
        <v>304</v>
      </c>
      <c r="D58" s="355">
        <f t="shared" si="0"/>
        <v>245020</v>
      </c>
      <c r="E58" s="751">
        <v>223000</v>
      </c>
      <c r="F58" s="69"/>
      <c r="G58" s="355">
        <v>243898.68</v>
      </c>
      <c r="H58" s="730">
        <f t="shared" si="1"/>
        <v>245020</v>
      </c>
      <c r="I58" s="361"/>
      <c r="J58" s="361"/>
      <c r="K58" s="361"/>
      <c r="L58" s="361"/>
    </row>
    <row r="59" spans="2:12" ht="15" thickBot="1" x14ac:dyDescent="0.25">
      <c r="B59" s="16"/>
      <c r="C59" s="353" t="s">
        <v>305</v>
      </c>
      <c r="D59" s="355">
        <f t="shared" si="0"/>
        <v>245020</v>
      </c>
      <c r="E59" s="751">
        <v>226000</v>
      </c>
      <c r="F59" s="69"/>
      <c r="G59" s="355">
        <v>243898.68</v>
      </c>
      <c r="H59" s="730">
        <f t="shared" si="1"/>
        <v>245020</v>
      </c>
      <c r="I59" s="361"/>
      <c r="J59" s="361"/>
      <c r="K59" s="361"/>
      <c r="L59" s="361"/>
    </row>
    <row r="60" spans="2:12" ht="15" thickBot="1" x14ac:dyDescent="0.25">
      <c r="B60" s="16"/>
      <c r="C60" s="353" t="s">
        <v>306</v>
      </c>
      <c r="D60" s="355">
        <f t="shared" si="0"/>
        <v>245020</v>
      </c>
      <c r="E60" s="751">
        <v>226000</v>
      </c>
      <c r="F60" s="69"/>
      <c r="G60" s="355">
        <v>243898.68</v>
      </c>
      <c r="H60" s="730">
        <f t="shared" si="1"/>
        <v>245020</v>
      </c>
      <c r="I60" s="361"/>
      <c r="J60" s="361"/>
      <c r="K60" s="361"/>
      <c r="L60" s="361"/>
    </row>
    <row r="61" spans="2:12" ht="15" thickBot="1" x14ac:dyDescent="0.25">
      <c r="B61" s="16"/>
      <c r="C61" s="353" t="s">
        <v>307</v>
      </c>
      <c r="D61" s="355">
        <f t="shared" si="0"/>
        <v>245020</v>
      </c>
      <c r="E61" s="751">
        <v>223000</v>
      </c>
      <c r="F61" s="69"/>
      <c r="G61" s="355">
        <v>243898.68</v>
      </c>
      <c r="H61" s="730">
        <f t="shared" si="1"/>
        <v>245020</v>
      </c>
      <c r="I61" s="361"/>
      <c r="J61" s="361"/>
      <c r="K61" s="361"/>
      <c r="L61" s="361"/>
    </row>
    <row r="62" spans="2:12" ht="15" thickBot="1" x14ac:dyDescent="0.25">
      <c r="B62" s="16"/>
      <c r="C62" s="353" t="s">
        <v>308</v>
      </c>
      <c r="D62" s="355">
        <f t="shared" si="0"/>
        <v>245020</v>
      </c>
      <c r="E62" s="751">
        <v>223000</v>
      </c>
      <c r="F62" s="69"/>
      <c r="G62" s="355">
        <v>243898.68</v>
      </c>
      <c r="H62" s="730">
        <f t="shared" si="1"/>
        <v>245020</v>
      </c>
      <c r="I62" s="361"/>
      <c r="J62" s="361"/>
      <c r="K62" s="361"/>
      <c r="L62" s="361"/>
    </row>
    <row r="63" spans="2:12" ht="15" thickBot="1" x14ac:dyDescent="0.25">
      <c r="B63" s="16"/>
      <c r="C63" s="353" t="s">
        <v>309</v>
      </c>
      <c r="D63" s="355">
        <f t="shared" si="0"/>
        <v>245020</v>
      </c>
      <c r="E63" s="751">
        <v>226000</v>
      </c>
      <c r="F63" s="69"/>
      <c r="G63" s="355">
        <v>243898.68</v>
      </c>
      <c r="H63" s="730">
        <f t="shared" si="1"/>
        <v>245020</v>
      </c>
      <c r="I63" s="361"/>
      <c r="J63" s="361"/>
      <c r="K63" s="361"/>
      <c r="L63" s="361"/>
    </row>
    <row r="64" spans="2:12" ht="15" thickBot="1" x14ac:dyDescent="0.25">
      <c r="B64" s="16"/>
      <c r="C64" s="353" t="s">
        <v>310</v>
      </c>
      <c r="D64" s="355">
        <v>248795</v>
      </c>
      <c r="E64" s="751">
        <v>240000</v>
      </c>
      <c r="F64" s="69"/>
      <c r="G64" s="355">
        <v>250344.85</v>
      </c>
      <c r="H64" s="730">
        <f t="shared" si="1"/>
        <v>248795</v>
      </c>
      <c r="I64" s="361"/>
      <c r="J64" s="361"/>
      <c r="K64" s="361"/>
      <c r="L64" s="361"/>
    </row>
    <row r="65" spans="2:12" ht="15" thickBot="1" x14ac:dyDescent="0.25">
      <c r="B65" s="16"/>
      <c r="C65" s="353" t="s">
        <v>311</v>
      </c>
      <c r="D65" s="355">
        <v>248795</v>
      </c>
      <c r="E65" s="751">
        <v>240000</v>
      </c>
      <c r="F65" s="69"/>
      <c r="G65" s="355">
        <v>251788.86</v>
      </c>
      <c r="H65" s="730">
        <f t="shared" si="1"/>
        <v>248795</v>
      </c>
      <c r="I65" s="361"/>
      <c r="J65" s="361"/>
      <c r="K65" s="361"/>
      <c r="L65" s="361"/>
    </row>
    <row r="66" spans="2:12" ht="15" thickBot="1" x14ac:dyDescent="0.25">
      <c r="B66" s="16"/>
      <c r="C66" s="353" t="s">
        <v>312</v>
      </c>
      <c r="D66" s="355">
        <v>248795</v>
      </c>
      <c r="E66" s="751">
        <v>240000</v>
      </c>
      <c r="F66" s="69"/>
      <c r="G66" s="355">
        <v>251788.86</v>
      </c>
      <c r="H66" s="730">
        <f t="shared" si="1"/>
        <v>248795</v>
      </c>
      <c r="I66" s="361"/>
      <c r="J66" s="361"/>
      <c r="K66" s="361"/>
      <c r="L66" s="361"/>
    </row>
    <row r="67" spans="2:12" ht="15" thickBot="1" x14ac:dyDescent="0.25">
      <c r="B67" s="16"/>
      <c r="C67" s="353" t="s">
        <v>313</v>
      </c>
      <c r="D67" s="355">
        <v>248795</v>
      </c>
      <c r="E67" s="751">
        <v>240000</v>
      </c>
      <c r="F67" s="69"/>
      <c r="G67" s="355">
        <v>251788.86</v>
      </c>
      <c r="H67" s="730">
        <f t="shared" si="1"/>
        <v>248795</v>
      </c>
      <c r="I67" s="361"/>
      <c r="J67" s="361"/>
      <c r="K67" s="361"/>
      <c r="L67" s="361"/>
    </row>
    <row r="68" spans="2:12" ht="15" thickBot="1" x14ac:dyDescent="0.25">
      <c r="B68" s="16"/>
      <c r="C68" s="353" t="s">
        <v>314</v>
      </c>
      <c r="D68" s="355">
        <f t="shared" si="0"/>
        <v>245020</v>
      </c>
      <c r="E68" s="751">
        <v>226000</v>
      </c>
      <c r="F68" s="69"/>
      <c r="G68" s="355">
        <v>243898.68</v>
      </c>
      <c r="H68" s="730">
        <f t="shared" si="1"/>
        <v>245020</v>
      </c>
      <c r="I68" s="361"/>
      <c r="J68" s="361"/>
      <c r="K68" s="361"/>
      <c r="L68" s="361"/>
    </row>
    <row r="69" spans="2:12" ht="15" thickBot="1" x14ac:dyDescent="0.25">
      <c r="B69" s="16"/>
      <c r="C69" s="353" t="s">
        <v>315</v>
      </c>
      <c r="D69" s="355">
        <f t="shared" si="0"/>
        <v>245020</v>
      </c>
      <c r="E69" s="751">
        <v>223000</v>
      </c>
      <c r="F69" s="69"/>
      <c r="G69" s="355">
        <v>243898.68</v>
      </c>
      <c r="H69" s="730">
        <f t="shared" si="1"/>
        <v>245020</v>
      </c>
      <c r="I69" s="361"/>
      <c r="J69" s="361"/>
      <c r="K69" s="361"/>
      <c r="L69" s="361"/>
    </row>
    <row r="70" spans="2:12" ht="15" thickBot="1" x14ac:dyDescent="0.25">
      <c r="B70" s="16"/>
      <c r="C70" s="353" t="s">
        <v>316</v>
      </c>
      <c r="D70" s="355">
        <v>248795</v>
      </c>
      <c r="E70" s="751">
        <v>240000</v>
      </c>
      <c r="F70" s="69"/>
      <c r="G70" s="355">
        <v>249299.9</v>
      </c>
      <c r="H70" s="730">
        <f t="shared" si="1"/>
        <v>248795</v>
      </c>
      <c r="I70" s="361"/>
      <c r="J70" s="361"/>
      <c r="K70" s="361"/>
      <c r="L70" s="361"/>
    </row>
    <row r="71" spans="2:12" ht="15" thickBot="1" x14ac:dyDescent="0.25">
      <c r="B71" s="16"/>
      <c r="C71" s="353" t="s">
        <v>317</v>
      </c>
      <c r="D71" s="355">
        <v>248795</v>
      </c>
      <c r="E71" s="751">
        <v>240000</v>
      </c>
      <c r="F71" s="69"/>
      <c r="G71" s="355">
        <v>249299.9</v>
      </c>
      <c r="H71" s="730">
        <f t="shared" si="1"/>
        <v>248795</v>
      </c>
      <c r="I71" s="361"/>
      <c r="J71" s="361"/>
      <c r="K71" s="361"/>
      <c r="L71" s="361"/>
    </row>
    <row r="72" spans="2:12" ht="15" thickBot="1" x14ac:dyDescent="0.25">
      <c r="B72" s="16"/>
      <c r="C72" s="353" t="s">
        <v>397</v>
      </c>
      <c r="D72" s="355">
        <v>248795</v>
      </c>
      <c r="E72" s="751">
        <v>240000</v>
      </c>
      <c r="F72" s="69"/>
      <c r="G72" s="355">
        <v>250344.85</v>
      </c>
      <c r="H72" s="730">
        <f t="shared" si="1"/>
        <v>248795</v>
      </c>
      <c r="I72" s="361"/>
      <c r="J72" s="361"/>
      <c r="K72" s="361"/>
      <c r="L72" s="361"/>
    </row>
    <row r="73" spans="2:12" ht="15" thickBot="1" x14ac:dyDescent="0.25">
      <c r="B73" s="16"/>
      <c r="C73" s="353" t="s">
        <v>398</v>
      </c>
      <c r="D73" s="355">
        <v>248795</v>
      </c>
      <c r="E73" s="751">
        <v>240000</v>
      </c>
      <c r="F73" s="69"/>
      <c r="G73" s="355">
        <v>251788.86</v>
      </c>
      <c r="H73" s="730">
        <f t="shared" si="1"/>
        <v>248795</v>
      </c>
      <c r="I73" s="361"/>
      <c r="J73" s="361"/>
      <c r="K73" s="361"/>
      <c r="L73" s="361"/>
    </row>
    <row r="74" spans="2:12" ht="15" thickBot="1" x14ac:dyDescent="0.25">
      <c r="B74" s="16"/>
      <c r="C74" s="353" t="s">
        <v>399</v>
      </c>
      <c r="D74" s="355">
        <v>248795</v>
      </c>
      <c r="E74" s="751">
        <v>240000</v>
      </c>
      <c r="F74" s="69"/>
      <c r="G74" s="355">
        <v>251788.86</v>
      </c>
      <c r="H74" s="730">
        <f t="shared" ref="H74:H137" si="2">D74</f>
        <v>248795</v>
      </c>
      <c r="I74" s="361"/>
      <c r="J74" s="361"/>
      <c r="K74" s="361"/>
      <c r="L74" s="361"/>
    </row>
    <row r="75" spans="2:12" ht="15" thickBot="1" x14ac:dyDescent="0.25">
      <c r="B75" s="16"/>
      <c r="C75" s="353" t="s">
        <v>400</v>
      </c>
      <c r="D75" s="355">
        <v>248795</v>
      </c>
      <c r="E75" s="751">
        <v>240000</v>
      </c>
      <c r="F75" s="69"/>
      <c r="G75" s="355">
        <v>251788.86</v>
      </c>
      <c r="H75" s="730">
        <f t="shared" si="2"/>
        <v>248795</v>
      </c>
      <c r="I75" s="361"/>
      <c r="J75" s="361"/>
      <c r="K75" s="361"/>
      <c r="L75" s="361"/>
    </row>
    <row r="76" spans="2:12" ht="15" thickBot="1" x14ac:dyDescent="0.25">
      <c r="B76" s="16"/>
      <c r="C76" s="353" t="s">
        <v>401</v>
      </c>
      <c r="D76" s="355">
        <v>248795</v>
      </c>
      <c r="E76" s="751">
        <v>240000</v>
      </c>
      <c r="F76" s="69"/>
      <c r="G76" s="355">
        <v>250344.85</v>
      </c>
      <c r="H76" s="730">
        <f t="shared" si="2"/>
        <v>248795</v>
      </c>
      <c r="I76" s="361"/>
      <c r="J76" s="361"/>
      <c r="K76" s="361"/>
      <c r="L76" s="361"/>
    </row>
    <row r="77" spans="2:12" ht="15" thickBot="1" x14ac:dyDescent="0.25">
      <c r="B77" s="16"/>
      <c r="C77" s="353" t="s">
        <v>402</v>
      </c>
      <c r="D77" s="355">
        <f t="shared" ref="D77:D133" si="3">ROUND((G77*$J$1)/$J$2,-1)</f>
        <v>245020</v>
      </c>
      <c r="E77" s="751">
        <v>223000</v>
      </c>
      <c r="F77" s="69"/>
      <c r="G77" s="355">
        <v>243898.68</v>
      </c>
      <c r="H77" s="730">
        <f t="shared" si="2"/>
        <v>245020</v>
      </c>
      <c r="I77" s="361"/>
      <c r="J77" s="361"/>
      <c r="K77" s="361"/>
      <c r="L77" s="361"/>
    </row>
    <row r="78" spans="2:12" ht="15" thickBot="1" x14ac:dyDescent="0.25">
      <c r="B78" s="16"/>
      <c r="C78" s="353" t="s">
        <v>403</v>
      </c>
      <c r="D78" s="355">
        <v>248795</v>
      </c>
      <c r="E78" s="751">
        <v>240000</v>
      </c>
      <c r="F78" s="69"/>
      <c r="G78" s="355">
        <v>249299.9</v>
      </c>
      <c r="H78" s="730">
        <f t="shared" si="2"/>
        <v>248795</v>
      </c>
      <c r="I78" s="361"/>
      <c r="J78" s="361"/>
      <c r="K78" s="361"/>
      <c r="L78" s="361"/>
    </row>
    <row r="79" spans="2:12" ht="15" thickBot="1" x14ac:dyDescent="0.25">
      <c r="B79" s="16"/>
      <c r="C79" s="353" t="s">
        <v>404</v>
      </c>
      <c r="D79" s="355">
        <v>248795</v>
      </c>
      <c r="E79" s="751">
        <v>240000</v>
      </c>
      <c r="F79" s="69"/>
      <c r="G79" s="355">
        <v>249299.9</v>
      </c>
      <c r="H79" s="730">
        <f t="shared" si="2"/>
        <v>248795</v>
      </c>
      <c r="I79" s="361"/>
      <c r="J79" s="361"/>
      <c r="K79" s="361"/>
      <c r="L79" s="361"/>
    </row>
    <row r="80" spans="2:12" ht="15" thickBot="1" x14ac:dyDescent="0.25">
      <c r="B80" s="16"/>
      <c r="C80" s="353" t="s">
        <v>405</v>
      </c>
      <c r="D80" s="355">
        <v>248795</v>
      </c>
      <c r="E80" s="751">
        <v>240000</v>
      </c>
      <c r="F80" s="69"/>
      <c r="G80" s="355">
        <v>249299.9</v>
      </c>
      <c r="H80" s="730">
        <f t="shared" si="2"/>
        <v>248795</v>
      </c>
      <c r="I80" s="361"/>
      <c r="J80" s="361"/>
      <c r="K80" s="361"/>
      <c r="L80" s="361"/>
    </row>
    <row r="81" spans="2:12" ht="15" thickBot="1" x14ac:dyDescent="0.25">
      <c r="B81" s="16"/>
      <c r="C81" s="353" t="s">
        <v>406</v>
      </c>
      <c r="D81" s="355">
        <v>248795</v>
      </c>
      <c r="E81" s="751">
        <v>240000</v>
      </c>
      <c r="F81" s="69"/>
      <c r="G81" s="355">
        <v>249299.9</v>
      </c>
      <c r="H81" s="730">
        <f t="shared" si="2"/>
        <v>248795</v>
      </c>
      <c r="I81" s="361"/>
      <c r="J81" s="361"/>
      <c r="K81" s="361"/>
      <c r="L81" s="361"/>
    </row>
    <row r="82" spans="2:12" ht="15" thickBot="1" x14ac:dyDescent="0.25">
      <c r="B82" s="16"/>
      <c r="C82" s="353" t="s">
        <v>407</v>
      </c>
      <c r="D82" s="355">
        <v>248795</v>
      </c>
      <c r="E82" s="751">
        <v>240000</v>
      </c>
      <c r="F82" s="69"/>
      <c r="G82" s="355">
        <v>250344.85</v>
      </c>
      <c r="H82" s="730">
        <f t="shared" si="2"/>
        <v>248795</v>
      </c>
      <c r="I82" s="361"/>
      <c r="J82" s="361"/>
      <c r="K82" s="361"/>
      <c r="L82" s="361"/>
    </row>
    <row r="83" spans="2:12" ht="15" thickBot="1" x14ac:dyDescent="0.25">
      <c r="B83" s="16"/>
      <c r="C83" s="353" t="s">
        <v>408</v>
      </c>
      <c r="D83" s="355">
        <v>248795</v>
      </c>
      <c r="E83" s="751">
        <v>240000</v>
      </c>
      <c r="F83" s="69"/>
      <c r="G83" s="355">
        <v>250344.85</v>
      </c>
      <c r="H83" s="730">
        <f t="shared" si="2"/>
        <v>248795</v>
      </c>
      <c r="I83" s="361"/>
      <c r="J83" s="361"/>
      <c r="K83" s="361"/>
      <c r="L83" s="361"/>
    </row>
    <row r="84" spans="2:12" ht="15" thickBot="1" x14ac:dyDescent="0.25">
      <c r="B84" s="16"/>
      <c r="C84" s="353" t="s">
        <v>409</v>
      </c>
      <c r="D84" s="355">
        <v>248795</v>
      </c>
      <c r="E84" s="751">
        <v>240000</v>
      </c>
      <c r="F84" s="69"/>
      <c r="G84" s="355">
        <v>251788.86</v>
      </c>
      <c r="H84" s="730">
        <f t="shared" si="2"/>
        <v>248795</v>
      </c>
      <c r="I84" s="361"/>
      <c r="J84" s="361"/>
      <c r="K84" s="361"/>
      <c r="L84" s="361"/>
    </row>
    <row r="85" spans="2:12" ht="15" thickBot="1" x14ac:dyDescent="0.25">
      <c r="B85" s="16"/>
      <c r="C85" s="353" t="s">
        <v>410</v>
      </c>
      <c r="D85" s="355">
        <f t="shared" si="3"/>
        <v>245020</v>
      </c>
      <c r="E85" s="751">
        <v>223000</v>
      </c>
      <c r="F85" s="69"/>
      <c r="G85" s="355">
        <v>243898.68</v>
      </c>
      <c r="H85" s="730">
        <f t="shared" si="2"/>
        <v>245020</v>
      </c>
      <c r="I85" s="361"/>
      <c r="J85" s="361"/>
      <c r="K85" s="361"/>
      <c r="L85" s="361"/>
    </row>
    <row r="86" spans="2:12" ht="15" thickBot="1" x14ac:dyDescent="0.25">
      <c r="B86" s="16"/>
      <c r="C86" s="353" t="s">
        <v>411</v>
      </c>
      <c r="D86" s="355">
        <v>248795</v>
      </c>
      <c r="E86" s="751">
        <v>240000</v>
      </c>
      <c r="F86" s="69"/>
      <c r="G86" s="355">
        <v>250344.85</v>
      </c>
      <c r="H86" s="730">
        <f t="shared" si="2"/>
        <v>248795</v>
      </c>
      <c r="I86" s="361"/>
      <c r="J86" s="361"/>
      <c r="K86" s="361"/>
      <c r="L86" s="361"/>
    </row>
    <row r="87" spans="2:12" ht="15" thickBot="1" x14ac:dyDescent="0.25">
      <c r="B87" s="16"/>
      <c r="C87" s="353" t="s">
        <v>412</v>
      </c>
      <c r="D87" s="355">
        <v>248795</v>
      </c>
      <c r="E87" s="751">
        <v>240000</v>
      </c>
      <c r="F87" s="69"/>
      <c r="G87" s="355">
        <v>249299.9</v>
      </c>
      <c r="H87" s="730">
        <f t="shared" si="2"/>
        <v>248795</v>
      </c>
      <c r="I87" s="361"/>
      <c r="J87" s="361"/>
      <c r="K87" s="361"/>
      <c r="L87" s="361"/>
    </row>
    <row r="88" spans="2:12" ht="15" thickBot="1" x14ac:dyDescent="0.25">
      <c r="B88" s="16"/>
      <c r="C88" s="353" t="s">
        <v>413</v>
      </c>
      <c r="D88" s="355">
        <v>248795</v>
      </c>
      <c r="E88" s="751">
        <v>240000</v>
      </c>
      <c r="F88" s="69"/>
      <c r="G88" s="355">
        <v>250344.85</v>
      </c>
      <c r="H88" s="730">
        <f t="shared" si="2"/>
        <v>248795</v>
      </c>
      <c r="I88" s="361"/>
      <c r="J88" s="361"/>
      <c r="K88" s="361"/>
      <c r="L88" s="361"/>
    </row>
    <row r="89" spans="2:12" ht="15" thickBot="1" x14ac:dyDescent="0.25">
      <c r="B89" s="16"/>
      <c r="C89" s="353" t="s">
        <v>414</v>
      </c>
      <c r="D89" s="355">
        <v>248795</v>
      </c>
      <c r="E89" s="751">
        <v>240000</v>
      </c>
      <c r="F89" s="69"/>
      <c r="G89" s="355">
        <v>249299.9</v>
      </c>
      <c r="H89" s="730">
        <f t="shared" si="2"/>
        <v>248795</v>
      </c>
      <c r="I89" s="361"/>
      <c r="J89" s="361"/>
      <c r="K89" s="361"/>
      <c r="L89" s="361"/>
    </row>
    <row r="90" spans="2:12" ht="15" thickBot="1" x14ac:dyDescent="0.25">
      <c r="B90" s="16"/>
      <c r="C90" s="353" t="s">
        <v>415</v>
      </c>
      <c r="D90" s="355">
        <v>248795</v>
      </c>
      <c r="E90" s="751">
        <v>240000</v>
      </c>
      <c r="F90" s="69"/>
      <c r="G90" s="355">
        <v>251788.86</v>
      </c>
      <c r="H90" s="730">
        <f t="shared" si="2"/>
        <v>248795</v>
      </c>
      <c r="I90" s="361"/>
      <c r="J90" s="361"/>
      <c r="K90" s="361"/>
      <c r="L90" s="361"/>
    </row>
    <row r="91" spans="2:12" ht="15" thickBot="1" x14ac:dyDescent="0.25">
      <c r="B91" s="16"/>
      <c r="C91" s="353" t="s">
        <v>416</v>
      </c>
      <c r="D91" s="355">
        <v>248795</v>
      </c>
      <c r="E91" s="751">
        <v>240000</v>
      </c>
      <c r="F91" s="69"/>
      <c r="G91" s="355">
        <v>251788.86</v>
      </c>
      <c r="H91" s="730">
        <f t="shared" si="2"/>
        <v>248795</v>
      </c>
      <c r="I91" s="361"/>
      <c r="J91" s="361"/>
      <c r="K91" s="361"/>
      <c r="L91" s="361"/>
    </row>
    <row r="92" spans="2:12" ht="15" thickBot="1" x14ac:dyDescent="0.25">
      <c r="B92" s="16"/>
      <c r="C92" s="353" t="s">
        <v>417</v>
      </c>
      <c r="D92" s="355">
        <v>248795</v>
      </c>
      <c r="E92" s="751">
        <v>240000</v>
      </c>
      <c r="F92" s="69"/>
      <c r="G92" s="355">
        <v>251788.86</v>
      </c>
      <c r="H92" s="730">
        <f t="shared" si="2"/>
        <v>248795</v>
      </c>
      <c r="I92" s="361"/>
      <c r="J92" s="361"/>
      <c r="K92" s="361"/>
      <c r="L92" s="361"/>
    </row>
    <row r="93" spans="2:12" ht="15" thickBot="1" x14ac:dyDescent="0.25">
      <c r="B93" s="16"/>
      <c r="C93" s="353" t="s">
        <v>418</v>
      </c>
      <c r="D93" s="355">
        <f t="shared" si="3"/>
        <v>245020</v>
      </c>
      <c r="E93" s="751">
        <v>223000</v>
      </c>
      <c r="F93" s="69"/>
      <c r="G93" s="355">
        <v>243898.68</v>
      </c>
      <c r="H93" s="730">
        <f t="shared" si="2"/>
        <v>245020</v>
      </c>
      <c r="I93" s="361"/>
      <c r="J93" s="361"/>
      <c r="K93" s="361"/>
      <c r="L93" s="361"/>
    </row>
    <row r="94" spans="2:12" ht="15" thickBot="1" x14ac:dyDescent="0.25">
      <c r="B94" s="16"/>
      <c r="C94" s="353" t="s">
        <v>419</v>
      </c>
      <c r="D94" s="355">
        <v>248795</v>
      </c>
      <c r="E94" s="751">
        <v>240000</v>
      </c>
      <c r="F94" s="69"/>
      <c r="G94" s="355">
        <v>249299.9</v>
      </c>
      <c r="H94" s="730">
        <f t="shared" si="2"/>
        <v>248795</v>
      </c>
      <c r="I94" s="361"/>
      <c r="J94" s="361"/>
      <c r="K94" s="361"/>
      <c r="L94" s="361"/>
    </row>
    <row r="95" spans="2:12" ht="15" thickBot="1" x14ac:dyDescent="0.25">
      <c r="B95" s="16"/>
      <c r="C95" s="353" t="s">
        <v>420</v>
      </c>
      <c r="D95" s="355">
        <v>248795</v>
      </c>
      <c r="E95" s="751">
        <v>240000</v>
      </c>
      <c r="F95" s="69"/>
      <c r="G95" s="355">
        <v>250344.85</v>
      </c>
      <c r="H95" s="730">
        <f t="shared" si="2"/>
        <v>248795</v>
      </c>
      <c r="I95" s="361"/>
      <c r="J95" s="361"/>
      <c r="K95" s="361"/>
      <c r="L95" s="361"/>
    </row>
    <row r="96" spans="2:12" ht="15" thickBot="1" x14ac:dyDescent="0.25">
      <c r="B96" s="16"/>
      <c r="C96" s="353" t="s">
        <v>421</v>
      </c>
      <c r="D96" s="355">
        <v>248795</v>
      </c>
      <c r="E96" s="751">
        <v>240000</v>
      </c>
      <c r="F96" s="69"/>
      <c r="G96" s="355">
        <v>251788.86</v>
      </c>
      <c r="H96" s="730">
        <f t="shared" si="2"/>
        <v>248795</v>
      </c>
      <c r="I96" s="361"/>
      <c r="J96" s="361"/>
      <c r="K96" s="361"/>
      <c r="L96" s="361"/>
    </row>
    <row r="97" spans="2:12" ht="15" thickBot="1" x14ac:dyDescent="0.25">
      <c r="B97" s="16"/>
      <c r="C97" s="353" t="s">
        <v>422</v>
      </c>
      <c r="D97" s="355">
        <v>248795</v>
      </c>
      <c r="E97" s="751">
        <v>240000</v>
      </c>
      <c r="F97" s="69"/>
      <c r="G97" s="355">
        <v>250344.85</v>
      </c>
      <c r="H97" s="730">
        <f t="shared" si="2"/>
        <v>248795</v>
      </c>
      <c r="I97" s="361"/>
      <c r="J97" s="361"/>
      <c r="K97" s="361"/>
      <c r="L97" s="361"/>
    </row>
    <row r="98" spans="2:12" ht="15" thickBot="1" x14ac:dyDescent="0.25">
      <c r="B98" s="16"/>
      <c r="C98" s="353" t="s">
        <v>423</v>
      </c>
      <c r="D98" s="355">
        <v>248795</v>
      </c>
      <c r="E98" s="751">
        <v>240000</v>
      </c>
      <c r="F98" s="69"/>
      <c r="G98" s="355">
        <v>251788.86</v>
      </c>
      <c r="H98" s="730">
        <f t="shared" si="2"/>
        <v>248795</v>
      </c>
      <c r="I98" s="361"/>
      <c r="J98" s="361"/>
      <c r="K98" s="361"/>
      <c r="L98" s="361"/>
    </row>
    <row r="99" spans="2:12" ht="15" thickBot="1" x14ac:dyDescent="0.25">
      <c r="B99" s="16"/>
      <c r="C99" s="353" t="s">
        <v>424</v>
      </c>
      <c r="D99" s="355">
        <v>248795</v>
      </c>
      <c r="E99" s="751">
        <v>240000</v>
      </c>
      <c r="F99" s="69"/>
      <c r="G99" s="355">
        <v>251788.86</v>
      </c>
      <c r="H99" s="730">
        <f t="shared" si="2"/>
        <v>248795</v>
      </c>
      <c r="I99" s="361"/>
      <c r="J99" s="361"/>
      <c r="K99" s="361"/>
      <c r="L99" s="361"/>
    </row>
    <row r="100" spans="2:12" ht="15" thickBot="1" x14ac:dyDescent="0.25">
      <c r="B100" s="16"/>
      <c r="C100" s="353" t="s">
        <v>425</v>
      </c>
      <c r="D100" s="355">
        <v>248795</v>
      </c>
      <c r="E100" s="751">
        <v>240000</v>
      </c>
      <c r="F100" s="69"/>
      <c r="G100" s="355">
        <v>249299.9</v>
      </c>
      <c r="H100" s="730">
        <f t="shared" si="2"/>
        <v>248795</v>
      </c>
      <c r="I100" s="361"/>
      <c r="J100" s="361"/>
      <c r="K100" s="361"/>
      <c r="L100" s="361"/>
    </row>
    <row r="101" spans="2:12" ht="15" thickBot="1" x14ac:dyDescent="0.25">
      <c r="B101" s="16"/>
      <c r="C101" s="353" t="s">
        <v>426</v>
      </c>
      <c r="D101" s="355">
        <f t="shared" si="3"/>
        <v>245020</v>
      </c>
      <c r="E101" s="751">
        <v>223000</v>
      </c>
      <c r="F101" s="69"/>
      <c r="G101" s="355">
        <v>243898.68</v>
      </c>
      <c r="H101" s="730">
        <f t="shared" si="2"/>
        <v>245020</v>
      </c>
      <c r="I101" s="361"/>
      <c r="J101" s="361"/>
      <c r="K101" s="361"/>
      <c r="L101" s="361"/>
    </row>
    <row r="102" spans="2:12" ht="15" thickBot="1" x14ac:dyDescent="0.25">
      <c r="B102" s="16"/>
      <c r="C102" s="353" t="s">
        <v>427</v>
      </c>
      <c r="D102" s="355">
        <v>248795</v>
      </c>
      <c r="E102" s="751">
        <v>240000</v>
      </c>
      <c r="F102" s="69"/>
      <c r="G102" s="355">
        <v>249299.9</v>
      </c>
      <c r="H102" s="730">
        <f t="shared" si="2"/>
        <v>248795</v>
      </c>
      <c r="I102" s="361"/>
      <c r="J102" s="361"/>
      <c r="K102" s="361"/>
      <c r="L102" s="361"/>
    </row>
    <row r="103" spans="2:12" ht="15" thickBot="1" x14ac:dyDescent="0.25">
      <c r="B103" s="16"/>
      <c r="C103" s="353" t="s">
        <v>428</v>
      </c>
      <c r="D103" s="355">
        <v>248795</v>
      </c>
      <c r="E103" s="751">
        <v>240000</v>
      </c>
      <c r="F103" s="69"/>
      <c r="G103" s="355">
        <v>249299.9</v>
      </c>
      <c r="H103" s="730">
        <f t="shared" si="2"/>
        <v>248795</v>
      </c>
      <c r="I103" s="361"/>
      <c r="J103" s="361"/>
      <c r="K103" s="361"/>
      <c r="L103" s="361"/>
    </row>
    <row r="104" spans="2:12" ht="15" thickBot="1" x14ac:dyDescent="0.25">
      <c r="B104" s="16"/>
      <c r="C104" s="353" t="s">
        <v>429</v>
      </c>
      <c r="D104" s="355">
        <v>248795</v>
      </c>
      <c r="E104" s="751">
        <v>240000</v>
      </c>
      <c r="F104" s="69"/>
      <c r="G104" s="355">
        <v>249299.9</v>
      </c>
      <c r="H104" s="730">
        <f t="shared" si="2"/>
        <v>248795</v>
      </c>
      <c r="I104" s="361"/>
      <c r="J104" s="361"/>
      <c r="K104" s="361"/>
      <c r="L104" s="361"/>
    </row>
    <row r="105" spans="2:12" ht="15" thickBot="1" x14ac:dyDescent="0.25">
      <c r="B105" s="16"/>
      <c r="C105" s="353" t="s">
        <v>430</v>
      </c>
      <c r="D105" s="355">
        <v>248795</v>
      </c>
      <c r="E105" s="751">
        <v>240000</v>
      </c>
      <c r="F105" s="69"/>
      <c r="G105" s="355">
        <v>251788.86</v>
      </c>
      <c r="H105" s="730">
        <f t="shared" si="2"/>
        <v>248795</v>
      </c>
      <c r="I105" s="361"/>
      <c r="J105" s="361"/>
      <c r="K105" s="361"/>
      <c r="L105" s="361"/>
    </row>
    <row r="106" spans="2:12" ht="15" thickBot="1" x14ac:dyDescent="0.25">
      <c r="B106" s="16"/>
      <c r="C106" s="353" t="s">
        <v>431</v>
      </c>
      <c r="D106" s="355">
        <v>248795</v>
      </c>
      <c r="E106" s="751">
        <v>240000</v>
      </c>
      <c r="F106" s="69"/>
      <c r="G106" s="355">
        <v>249299.9</v>
      </c>
      <c r="H106" s="730">
        <f t="shared" si="2"/>
        <v>248795</v>
      </c>
      <c r="I106" s="361"/>
      <c r="J106" s="361"/>
      <c r="K106" s="361"/>
      <c r="L106" s="361"/>
    </row>
    <row r="107" spans="2:12" ht="15" thickBot="1" x14ac:dyDescent="0.25">
      <c r="B107" s="16"/>
      <c r="C107" s="353" t="s">
        <v>432</v>
      </c>
      <c r="D107" s="355">
        <v>248795</v>
      </c>
      <c r="E107" s="751">
        <v>240000</v>
      </c>
      <c r="F107" s="69"/>
      <c r="G107" s="355">
        <v>251788.86</v>
      </c>
      <c r="H107" s="730">
        <f t="shared" si="2"/>
        <v>248795</v>
      </c>
      <c r="I107" s="361"/>
      <c r="J107" s="361"/>
      <c r="K107" s="361"/>
      <c r="L107" s="361"/>
    </row>
    <row r="108" spans="2:12" ht="15" thickBot="1" x14ac:dyDescent="0.25">
      <c r="B108" s="16"/>
      <c r="C108" s="353" t="s">
        <v>433</v>
      </c>
      <c r="D108" s="355">
        <v>248795</v>
      </c>
      <c r="E108" s="751">
        <v>240000</v>
      </c>
      <c r="F108" s="69"/>
      <c r="G108" s="355">
        <v>249299.9</v>
      </c>
      <c r="H108" s="730">
        <f t="shared" si="2"/>
        <v>248795</v>
      </c>
      <c r="I108" s="361"/>
      <c r="J108" s="361"/>
      <c r="K108" s="361"/>
      <c r="L108" s="361"/>
    </row>
    <row r="109" spans="2:12" ht="15" thickBot="1" x14ac:dyDescent="0.25">
      <c r="B109" s="16"/>
      <c r="C109" s="353" t="s">
        <v>434</v>
      </c>
      <c r="D109" s="355">
        <f t="shared" si="3"/>
        <v>245020</v>
      </c>
      <c r="E109" s="751">
        <v>223000</v>
      </c>
      <c r="F109" s="69"/>
      <c r="G109" s="355">
        <v>243898.68</v>
      </c>
      <c r="H109" s="730">
        <f t="shared" si="2"/>
        <v>245020</v>
      </c>
      <c r="I109" s="361"/>
      <c r="J109" s="361"/>
      <c r="K109" s="361"/>
      <c r="L109" s="361"/>
    </row>
    <row r="110" spans="2:12" ht="15" thickBot="1" x14ac:dyDescent="0.25">
      <c r="B110" s="16"/>
      <c r="C110" s="353" t="s">
        <v>435</v>
      </c>
      <c r="D110" s="355">
        <v>248795</v>
      </c>
      <c r="E110" s="751">
        <v>240000</v>
      </c>
      <c r="F110" s="69"/>
      <c r="G110" s="355">
        <v>249299.9</v>
      </c>
      <c r="H110" s="730">
        <f t="shared" si="2"/>
        <v>248795</v>
      </c>
      <c r="I110" s="361"/>
      <c r="J110" s="361"/>
      <c r="K110" s="361"/>
      <c r="L110" s="361"/>
    </row>
    <row r="111" spans="2:12" ht="15" thickBot="1" x14ac:dyDescent="0.25">
      <c r="B111" s="16"/>
      <c r="C111" s="353" t="s">
        <v>436</v>
      </c>
      <c r="D111" s="355">
        <v>248795</v>
      </c>
      <c r="E111" s="751">
        <v>240000</v>
      </c>
      <c r="F111" s="69"/>
      <c r="G111" s="355">
        <v>249299.9</v>
      </c>
      <c r="H111" s="730">
        <f t="shared" si="2"/>
        <v>248795</v>
      </c>
      <c r="I111" s="361"/>
      <c r="J111" s="361"/>
      <c r="K111" s="361"/>
      <c r="L111" s="361"/>
    </row>
    <row r="112" spans="2:12" ht="15" thickBot="1" x14ac:dyDescent="0.25">
      <c r="B112" s="16"/>
      <c r="C112" s="353" t="s">
        <v>437</v>
      </c>
      <c r="D112" s="355">
        <v>248795</v>
      </c>
      <c r="E112" s="751">
        <v>240000</v>
      </c>
      <c r="F112" s="69"/>
      <c r="G112" s="355">
        <v>249299.9</v>
      </c>
      <c r="H112" s="730">
        <f t="shared" si="2"/>
        <v>248795</v>
      </c>
      <c r="I112" s="361"/>
      <c r="J112" s="361"/>
      <c r="K112" s="361"/>
      <c r="L112" s="361"/>
    </row>
    <row r="113" spans="2:12" ht="15" thickBot="1" x14ac:dyDescent="0.25">
      <c r="B113" s="16"/>
      <c r="C113" s="353" t="s">
        <v>438</v>
      </c>
      <c r="D113" s="355">
        <v>248795</v>
      </c>
      <c r="E113" s="751">
        <v>240000</v>
      </c>
      <c r="F113" s="69"/>
      <c r="G113" s="355">
        <v>250344.85</v>
      </c>
      <c r="H113" s="730">
        <f t="shared" si="2"/>
        <v>248795</v>
      </c>
      <c r="I113" s="361"/>
      <c r="J113" s="361"/>
      <c r="K113" s="361"/>
      <c r="L113" s="361"/>
    </row>
    <row r="114" spans="2:12" ht="15" thickBot="1" x14ac:dyDescent="0.25">
      <c r="B114" s="16"/>
      <c r="C114" s="353" t="s">
        <v>439</v>
      </c>
      <c r="D114" s="355">
        <v>248795</v>
      </c>
      <c r="E114" s="751">
        <v>240000</v>
      </c>
      <c r="F114" s="69"/>
      <c r="G114" s="355">
        <v>250344.85</v>
      </c>
      <c r="H114" s="730">
        <f t="shared" si="2"/>
        <v>248795</v>
      </c>
      <c r="I114" s="361"/>
      <c r="J114" s="361"/>
      <c r="K114" s="361"/>
      <c r="L114" s="361"/>
    </row>
    <row r="115" spans="2:12" ht="15" thickBot="1" x14ac:dyDescent="0.25">
      <c r="B115" s="16"/>
      <c r="C115" s="353" t="s">
        <v>440</v>
      </c>
      <c r="D115" s="355">
        <v>248795</v>
      </c>
      <c r="E115" s="751">
        <v>240000</v>
      </c>
      <c r="F115" s="69"/>
      <c r="G115" s="355">
        <v>251788.86</v>
      </c>
      <c r="H115" s="730">
        <f t="shared" si="2"/>
        <v>248795</v>
      </c>
      <c r="I115" s="361"/>
      <c r="J115" s="361"/>
      <c r="K115" s="361"/>
      <c r="L115" s="361"/>
    </row>
    <row r="116" spans="2:12" ht="15" thickBot="1" x14ac:dyDescent="0.25">
      <c r="B116" s="16"/>
      <c r="C116" s="353" t="s">
        <v>441</v>
      </c>
      <c r="D116" s="355">
        <v>248795</v>
      </c>
      <c r="E116" s="751">
        <v>240000</v>
      </c>
      <c r="F116" s="69"/>
      <c r="G116" s="355">
        <v>250344.85</v>
      </c>
      <c r="H116" s="730">
        <f t="shared" si="2"/>
        <v>248795</v>
      </c>
      <c r="I116" s="361"/>
      <c r="J116" s="361"/>
      <c r="K116" s="361"/>
      <c r="L116" s="361"/>
    </row>
    <row r="117" spans="2:12" ht="15" thickBot="1" x14ac:dyDescent="0.25">
      <c r="B117" s="16"/>
      <c r="C117" s="353" t="s">
        <v>442</v>
      </c>
      <c r="D117" s="355">
        <f t="shared" si="3"/>
        <v>245020</v>
      </c>
      <c r="E117" s="751">
        <v>223000</v>
      </c>
      <c r="F117" s="69"/>
      <c r="G117" s="355">
        <v>243898.68</v>
      </c>
      <c r="H117" s="730">
        <f t="shared" si="2"/>
        <v>245020</v>
      </c>
      <c r="I117" s="361"/>
      <c r="J117" s="361"/>
      <c r="K117" s="361"/>
      <c r="L117" s="361"/>
    </row>
    <row r="118" spans="2:12" ht="15" thickBot="1" x14ac:dyDescent="0.25">
      <c r="B118" s="16"/>
      <c r="C118" s="353" t="s">
        <v>443</v>
      </c>
      <c r="D118" s="355">
        <v>248795</v>
      </c>
      <c r="E118" s="751">
        <v>240000</v>
      </c>
      <c r="F118" s="69"/>
      <c r="G118" s="355">
        <v>249299.9</v>
      </c>
      <c r="H118" s="730">
        <f t="shared" si="2"/>
        <v>248795</v>
      </c>
      <c r="I118" s="361"/>
      <c r="J118" s="361"/>
      <c r="K118" s="361"/>
      <c r="L118" s="361"/>
    </row>
    <row r="119" spans="2:12" ht="15" thickBot="1" x14ac:dyDescent="0.25">
      <c r="B119" s="16"/>
      <c r="C119" s="353" t="s">
        <v>444</v>
      </c>
      <c r="D119" s="355">
        <v>248795</v>
      </c>
      <c r="E119" s="751">
        <v>240000</v>
      </c>
      <c r="F119" s="69"/>
      <c r="G119" s="355">
        <v>249299.9</v>
      </c>
      <c r="H119" s="730">
        <f t="shared" si="2"/>
        <v>248795</v>
      </c>
      <c r="I119" s="361"/>
      <c r="J119" s="361"/>
      <c r="K119" s="361"/>
      <c r="L119" s="361"/>
    </row>
    <row r="120" spans="2:12" ht="15" thickBot="1" x14ac:dyDescent="0.25">
      <c r="B120" s="16"/>
      <c r="C120" s="353" t="s">
        <v>445</v>
      </c>
      <c r="D120" s="355">
        <v>248795</v>
      </c>
      <c r="E120" s="751">
        <v>240000</v>
      </c>
      <c r="F120" s="69"/>
      <c r="G120" s="355">
        <v>249299.9</v>
      </c>
      <c r="H120" s="730">
        <f t="shared" si="2"/>
        <v>248795</v>
      </c>
      <c r="I120" s="361"/>
      <c r="J120" s="361"/>
      <c r="K120" s="361"/>
      <c r="L120" s="361"/>
    </row>
    <row r="121" spans="2:12" ht="15" thickBot="1" x14ac:dyDescent="0.25">
      <c r="B121" s="16"/>
      <c r="C121" s="353" t="s">
        <v>446</v>
      </c>
      <c r="D121" s="355">
        <v>248795</v>
      </c>
      <c r="E121" s="751">
        <v>240000</v>
      </c>
      <c r="F121" s="69"/>
      <c r="G121" s="355">
        <v>249299.9</v>
      </c>
      <c r="H121" s="730">
        <f t="shared" si="2"/>
        <v>248795</v>
      </c>
      <c r="I121" s="361"/>
      <c r="J121" s="361"/>
      <c r="K121" s="361"/>
      <c r="L121" s="361"/>
    </row>
    <row r="122" spans="2:12" ht="15" thickBot="1" x14ac:dyDescent="0.25">
      <c r="B122" s="16"/>
      <c r="C122" s="353" t="s">
        <v>447</v>
      </c>
      <c r="D122" s="355">
        <v>248795</v>
      </c>
      <c r="E122" s="751">
        <v>240000</v>
      </c>
      <c r="F122" s="69"/>
      <c r="G122" s="355">
        <v>251788.86</v>
      </c>
      <c r="H122" s="730">
        <f t="shared" si="2"/>
        <v>248795</v>
      </c>
      <c r="I122" s="361"/>
      <c r="J122" s="361"/>
      <c r="K122" s="361"/>
      <c r="L122" s="361"/>
    </row>
    <row r="123" spans="2:12" ht="15" thickBot="1" x14ac:dyDescent="0.25">
      <c r="B123" s="16"/>
      <c r="C123" s="353" t="s">
        <v>448</v>
      </c>
      <c r="D123" s="355">
        <v>248795</v>
      </c>
      <c r="E123" s="751">
        <v>240000</v>
      </c>
      <c r="F123" s="69"/>
      <c r="G123" s="355">
        <v>249299.9</v>
      </c>
      <c r="H123" s="730">
        <f t="shared" si="2"/>
        <v>248795</v>
      </c>
      <c r="I123" s="361"/>
      <c r="J123" s="361"/>
      <c r="K123" s="361"/>
      <c r="L123" s="361"/>
    </row>
    <row r="124" spans="2:12" ht="15" thickBot="1" x14ac:dyDescent="0.25">
      <c r="B124" s="16"/>
      <c r="C124" s="353" t="s">
        <v>449</v>
      </c>
      <c r="D124" s="355">
        <v>248795</v>
      </c>
      <c r="E124" s="751">
        <v>240000</v>
      </c>
      <c r="F124" s="69"/>
      <c r="G124" s="355">
        <v>250344.85</v>
      </c>
      <c r="H124" s="730">
        <f t="shared" si="2"/>
        <v>248795</v>
      </c>
      <c r="I124" s="361"/>
      <c r="J124" s="361"/>
      <c r="K124" s="361"/>
      <c r="L124" s="361"/>
    </row>
    <row r="125" spans="2:12" ht="15" thickBot="1" x14ac:dyDescent="0.25">
      <c r="B125" s="16"/>
      <c r="C125" s="353" t="s">
        <v>450</v>
      </c>
      <c r="D125" s="355">
        <f t="shared" si="3"/>
        <v>245020</v>
      </c>
      <c r="E125" s="751">
        <v>223000</v>
      </c>
      <c r="F125" s="69"/>
      <c r="G125" s="355">
        <v>243898.68</v>
      </c>
      <c r="H125" s="730">
        <f t="shared" si="2"/>
        <v>245020</v>
      </c>
      <c r="I125" s="361"/>
      <c r="J125" s="361"/>
      <c r="K125" s="361"/>
      <c r="L125" s="361"/>
    </row>
    <row r="126" spans="2:12" ht="15" thickBot="1" x14ac:dyDescent="0.25">
      <c r="B126" s="16"/>
      <c r="C126" s="353" t="s">
        <v>451</v>
      </c>
      <c r="D126" s="355">
        <v>248795</v>
      </c>
      <c r="E126" s="751">
        <v>240000</v>
      </c>
      <c r="F126" s="69"/>
      <c r="G126" s="355">
        <v>249299.9</v>
      </c>
      <c r="H126" s="730">
        <f t="shared" si="2"/>
        <v>248795</v>
      </c>
      <c r="I126" s="361"/>
      <c r="J126" s="361"/>
      <c r="K126" s="361"/>
      <c r="L126" s="361"/>
    </row>
    <row r="127" spans="2:12" ht="15" thickBot="1" x14ac:dyDescent="0.25">
      <c r="B127" s="16"/>
      <c r="C127" s="353" t="s">
        <v>452</v>
      </c>
      <c r="D127" s="355">
        <v>248795</v>
      </c>
      <c r="E127" s="751">
        <v>240000</v>
      </c>
      <c r="F127" s="69"/>
      <c r="G127" s="355">
        <v>249299.9</v>
      </c>
      <c r="H127" s="730">
        <f t="shared" si="2"/>
        <v>248795</v>
      </c>
      <c r="I127" s="361"/>
      <c r="J127" s="361"/>
      <c r="K127" s="361"/>
      <c r="L127" s="361"/>
    </row>
    <row r="128" spans="2:12" ht="15" thickBot="1" x14ac:dyDescent="0.25">
      <c r="B128" s="16"/>
      <c r="C128" s="353" t="s">
        <v>453</v>
      </c>
      <c r="D128" s="355">
        <v>248795</v>
      </c>
      <c r="E128" s="751">
        <v>240000</v>
      </c>
      <c r="F128" s="69"/>
      <c r="G128" s="355">
        <v>251788.86</v>
      </c>
      <c r="H128" s="730">
        <f t="shared" si="2"/>
        <v>248795</v>
      </c>
      <c r="I128" s="361"/>
      <c r="J128" s="361"/>
      <c r="K128" s="361"/>
      <c r="L128" s="361"/>
    </row>
    <row r="129" spans="2:12" ht="15" thickBot="1" x14ac:dyDescent="0.25">
      <c r="B129" s="16"/>
      <c r="C129" s="353" t="s">
        <v>454</v>
      </c>
      <c r="D129" s="355">
        <v>248795</v>
      </c>
      <c r="E129" s="751">
        <v>240000</v>
      </c>
      <c r="F129" s="69"/>
      <c r="G129" s="355">
        <v>249299.9</v>
      </c>
      <c r="H129" s="730">
        <f t="shared" si="2"/>
        <v>248795</v>
      </c>
      <c r="I129" s="361"/>
      <c r="J129" s="361"/>
      <c r="K129" s="361"/>
      <c r="L129" s="361"/>
    </row>
    <row r="130" spans="2:12" ht="15" thickBot="1" x14ac:dyDescent="0.25">
      <c r="B130" s="16"/>
      <c r="C130" s="353" t="s">
        <v>455</v>
      </c>
      <c r="D130" s="355">
        <v>248795</v>
      </c>
      <c r="E130" s="751">
        <v>240000</v>
      </c>
      <c r="F130" s="69"/>
      <c r="G130" s="355">
        <v>251788.86</v>
      </c>
      <c r="H130" s="730">
        <f t="shared" si="2"/>
        <v>248795</v>
      </c>
      <c r="I130" s="361"/>
      <c r="J130" s="361"/>
      <c r="K130" s="361"/>
      <c r="L130" s="361"/>
    </row>
    <row r="131" spans="2:12" ht="15" thickBot="1" x14ac:dyDescent="0.25">
      <c r="B131" s="16"/>
      <c r="C131" s="353" t="s">
        <v>456</v>
      </c>
      <c r="D131" s="355">
        <v>248795</v>
      </c>
      <c r="E131" s="751">
        <v>240000</v>
      </c>
      <c r="F131" s="69"/>
      <c r="G131" s="355">
        <v>251788.86</v>
      </c>
      <c r="H131" s="730">
        <f t="shared" si="2"/>
        <v>248795</v>
      </c>
      <c r="I131" s="361"/>
      <c r="J131" s="361"/>
      <c r="K131" s="361"/>
      <c r="L131" s="361"/>
    </row>
    <row r="132" spans="2:12" ht="15" thickBot="1" x14ac:dyDescent="0.25">
      <c r="B132" s="16"/>
      <c r="C132" s="353" t="s">
        <v>457</v>
      </c>
      <c r="D132" s="355">
        <v>248795</v>
      </c>
      <c r="E132" s="751">
        <v>240000</v>
      </c>
      <c r="F132" s="69"/>
      <c r="G132" s="355">
        <v>250344.85</v>
      </c>
      <c r="H132" s="730">
        <f t="shared" si="2"/>
        <v>248795</v>
      </c>
      <c r="I132" s="361"/>
      <c r="J132" s="361"/>
      <c r="K132" s="361"/>
      <c r="L132" s="361"/>
    </row>
    <row r="133" spans="2:12" ht="15" thickBot="1" x14ac:dyDescent="0.25">
      <c r="B133" s="16"/>
      <c r="C133" s="353" t="s">
        <v>458</v>
      </c>
      <c r="D133" s="355">
        <f t="shared" si="3"/>
        <v>245020</v>
      </c>
      <c r="E133" s="751">
        <v>223000</v>
      </c>
      <c r="F133" s="69"/>
      <c r="G133" s="355">
        <v>243898.68</v>
      </c>
      <c r="H133" s="730">
        <f t="shared" si="2"/>
        <v>245020</v>
      </c>
      <c r="I133" s="361"/>
      <c r="J133" s="361"/>
      <c r="K133" s="361"/>
      <c r="L133" s="361"/>
    </row>
    <row r="134" spans="2:12" ht="15" thickBot="1" x14ac:dyDescent="0.25">
      <c r="B134" s="16"/>
      <c r="C134" s="353" t="s">
        <v>459</v>
      </c>
      <c r="D134" s="355">
        <v>248795</v>
      </c>
      <c r="E134" s="751">
        <v>240000</v>
      </c>
      <c r="F134" s="69"/>
      <c r="G134" s="355">
        <v>250344.85</v>
      </c>
      <c r="H134" s="730">
        <f t="shared" si="2"/>
        <v>248795</v>
      </c>
      <c r="I134" s="361"/>
      <c r="J134" s="361"/>
      <c r="K134" s="361"/>
      <c r="L134" s="361"/>
    </row>
    <row r="135" spans="2:12" ht="15" thickBot="1" x14ac:dyDescent="0.25">
      <c r="B135" s="16"/>
      <c r="C135" s="353" t="s">
        <v>460</v>
      </c>
      <c r="D135" s="355">
        <v>248795</v>
      </c>
      <c r="E135" s="751">
        <v>240000</v>
      </c>
      <c r="F135" s="69"/>
      <c r="G135" s="355">
        <v>249299.9</v>
      </c>
      <c r="H135" s="730">
        <f t="shared" si="2"/>
        <v>248795</v>
      </c>
      <c r="I135" s="361"/>
      <c r="J135" s="361"/>
      <c r="K135" s="361"/>
      <c r="L135" s="361"/>
    </row>
    <row r="136" spans="2:12" ht="15" thickBot="1" x14ac:dyDescent="0.25">
      <c r="B136" s="16"/>
      <c r="C136" s="353" t="s">
        <v>318</v>
      </c>
      <c r="D136" s="355">
        <f>ROUND((G136*$J$1),-1)</f>
        <v>214900</v>
      </c>
      <c r="E136" s="751">
        <v>220000</v>
      </c>
      <c r="F136" s="69"/>
      <c r="G136" s="355">
        <v>209878.26343962917</v>
      </c>
      <c r="H136" s="730">
        <f t="shared" si="2"/>
        <v>214900</v>
      </c>
      <c r="I136" s="361"/>
      <c r="J136" s="361"/>
      <c r="K136" s="361"/>
      <c r="L136" s="361"/>
    </row>
    <row r="137" spans="2:12" ht="15" thickBot="1" x14ac:dyDescent="0.25">
      <c r="B137" s="16"/>
      <c r="C137" s="353" t="s">
        <v>319</v>
      </c>
      <c r="D137" s="355">
        <f t="shared" ref="D137:D200" si="4">ROUND((G137*$J$1),-1)</f>
        <v>206140</v>
      </c>
      <c r="E137" s="751">
        <v>220000</v>
      </c>
      <c r="F137" s="69"/>
      <c r="G137" s="355">
        <v>201323.97427560575</v>
      </c>
      <c r="H137" s="730">
        <f t="shared" si="2"/>
        <v>206140</v>
      </c>
      <c r="I137" s="361"/>
      <c r="J137" s="361"/>
      <c r="K137" s="361"/>
      <c r="L137" s="361"/>
    </row>
    <row r="138" spans="2:12" ht="15" thickBot="1" x14ac:dyDescent="0.25">
      <c r="B138" s="16"/>
      <c r="C138" s="353" t="s">
        <v>320</v>
      </c>
      <c r="D138" s="355">
        <f t="shared" si="4"/>
        <v>205230</v>
      </c>
      <c r="E138" s="751">
        <v>220000</v>
      </c>
      <c r="F138" s="69"/>
      <c r="G138" s="355">
        <v>200437.21646219821</v>
      </c>
      <c r="H138" s="730">
        <f t="shared" ref="H138:H201" si="5">D138</f>
        <v>205230</v>
      </c>
      <c r="I138" s="361"/>
      <c r="J138" s="361"/>
      <c r="K138" s="361"/>
      <c r="L138" s="361"/>
    </row>
    <row r="139" spans="2:12" ht="15" thickBot="1" x14ac:dyDescent="0.25">
      <c r="B139" s="16"/>
      <c r="C139" s="353" t="s">
        <v>321</v>
      </c>
      <c r="D139" s="355">
        <f t="shared" si="4"/>
        <v>206850</v>
      </c>
      <c r="E139" s="751">
        <v>220000</v>
      </c>
      <c r="F139" s="69"/>
      <c r="G139" s="355">
        <v>202024.57202303276</v>
      </c>
      <c r="H139" s="730">
        <f t="shared" si="5"/>
        <v>206850</v>
      </c>
      <c r="I139" s="361"/>
      <c r="J139" s="361"/>
      <c r="K139" s="361"/>
      <c r="L139" s="361"/>
    </row>
    <row r="140" spans="2:12" ht="15" thickBot="1" x14ac:dyDescent="0.25">
      <c r="B140" s="16"/>
      <c r="C140" s="353" t="s">
        <v>322</v>
      </c>
      <c r="D140" s="355">
        <f t="shared" si="4"/>
        <v>204010</v>
      </c>
      <c r="E140" s="751">
        <v>220000</v>
      </c>
      <c r="F140" s="69"/>
      <c r="G140" s="355">
        <v>199242.11175911064</v>
      </c>
      <c r="H140" s="730">
        <f t="shared" si="5"/>
        <v>204010</v>
      </c>
      <c r="I140" s="361"/>
      <c r="J140" s="361"/>
      <c r="K140" s="361"/>
      <c r="L140" s="361"/>
    </row>
    <row r="141" spans="2:12" ht="15" thickBot="1" x14ac:dyDescent="0.25">
      <c r="B141" s="16"/>
      <c r="C141" s="353" t="s">
        <v>387</v>
      </c>
      <c r="D141" s="355">
        <f t="shared" si="4"/>
        <v>215100</v>
      </c>
      <c r="E141" s="751">
        <v>240000</v>
      </c>
      <c r="F141" s="69"/>
      <c r="G141" s="355">
        <v>210077.59584133819</v>
      </c>
      <c r="H141" s="730">
        <f t="shared" si="5"/>
        <v>215100</v>
      </c>
      <c r="I141" s="361"/>
      <c r="J141" s="361"/>
      <c r="K141" s="361"/>
      <c r="L141" s="361"/>
    </row>
    <row r="142" spans="2:12" ht="15" thickBot="1" x14ac:dyDescent="0.25">
      <c r="B142" s="16"/>
      <c r="C142" s="353" t="s">
        <v>388</v>
      </c>
      <c r="D142" s="355">
        <f t="shared" si="4"/>
        <v>213230</v>
      </c>
      <c r="E142" s="751">
        <v>220000</v>
      </c>
      <c r="F142" s="69"/>
      <c r="G142" s="355">
        <v>208252.00471711936</v>
      </c>
      <c r="H142" s="730">
        <f t="shared" si="5"/>
        <v>213230</v>
      </c>
      <c r="I142" s="361"/>
      <c r="J142" s="361"/>
      <c r="K142" s="361"/>
      <c r="L142" s="361"/>
    </row>
    <row r="143" spans="2:12" ht="15" thickBot="1" x14ac:dyDescent="0.25">
      <c r="B143" s="16"/>
      <c r="C143" s="353" t="s">
        <v>461</v>
      </c>
      <c r="D143" s="355">
        <f t="shared" si="4"/>
        <v>213180</v>
      </c>
      <c r="E143" s="751">
        <v>220000</v>
      </c>
      <c r="F143" s="69"/>
      <c r="G143" s="355">
        <v>208205.07181351614</v>
      </c>
      <c r="H143" s="730">
        <f t="shared" si="5"/>
        <v>213180</v>
      </c>
      <c r="I143" s="361"/>
      <c r="J143" s="361"/>
      <c r="K143" s="361"/>
      <c r="L143" s="361"/>
    </row>
    <row r="144" spans="2:12" ht="15" thickBot="1" x14ac:dyDescent="0.25">
      <c r="B144" s="16"/>
      <c r="C144" s="353" t="s">
        <v>323</v>
      </c>
      <c r="D144" s="355">
        <f t="shared" si="4"/>
        <v>219480</v>
      </c>
      <c r="E144" s="751">
        <v>220000</v>
      </c>
      <c r="F144" s="69"/>
      <c r="G144" s="355">
        <v>214358.3224609585</v>
      </c>
      <c r="H144" s="730">
        <f t="shared" si="5"/>
        <v>219480</v>
      </c>
      <c r="I144" s="361"/>
      <c r="J144" s="361"/>
      <c r="K144" s="361"/>
      <c r="L144" s="361"/>
    </row>
    <row r="145" spans="2:12" ht="15" thickBot="1" x14ac:dyDescent="0.25">
      <c r="B145" s="16"/>
      <c r="C145" s="353" t="s">
        <v>324</v>
      </c>
      <c r="D145" s="355">
        <f t="shared" si="4"/>
        <v>212210</v>
      </c>
      <c r="E145" s="751">
        <v>220000</v>
      </c>
      <c r="F145" s="69"/>
      <c r="G145" s="355">
        <v>207250.49708712974</v>
      </c>
      <c r="H145" s="730">
        <f t="shared" si="5"/>
        <v>212210</v>
      </c>
      <c r="I145" s="361"/>
      <c r="J145" s="361"/>
      <c r="K145" s="361"/>
      <c r="L145" s="361"/>
    </row>
    <row r="146" spans="2:12" ht="15" thickBot="1" x14ac:dyDescent="0.25">
      <c r="B146" s="16"/>
      <c r="C146" s="353" t="s">
        <v>325</v>
      </c>
      <c r="D146" s="355">
        <f t="shared" si="4"/>
        <v>211270</v>
      </c>
      <c r="E146" s="751">
        <v>220000</v>
      </c>
      <c r="F146" s="69"/>
      <c r="G146" s="355">
        <v>206336.45980775903</v>
      </c>
      <c r="H146" s="730">
        <f t="shared" si="5"/>
        <v>211270</v>
      </c>
      <c r="I146" s="361"/>
      <c r="J146" s="361"/>
      <c r="K146" s="361"/>
      <c r="L146" s="361"/>
    </row>
    <row r="147" spans="2:12" ht="15" thickBot="1" x14ac:dyDescent="0.25">
      <c r="B147" s="16"/>
      <c r="C147" s="353" t="s">
        <v>326</v>
      </c>
      <c r="D147" s="355">
        <f t="shared" si="4"/>
        <v>212940</v>
      </c>
      <c r="E147" s="751">
        <v>220000</v>
      </c>
      <c r="F147" s="69"/>
      <c r="G147" s="355">
        <v>207968.41599189606</v>
      </c>
      <c r="H147" s="730">
        <f t="shared" si="5"/>
        <v>212940</v>
      </c>
      <c r="I147" s="361"/>
      <c r="J147" s="361"/>
      <c r="K147" s="361"/>
      <c r="L147" s="361"/>
    </row>
    <row r="148" spans="2:12" ht="15" thickBot="1" x14ac:dyDescent="0.25">
      <c r="B148" s="16"/>
      <c r="C148" s="353" t="s">
        <v>327</v>
      </c>
      <c r="D148" s="355">
        <f t="shared" si="4"/>
        <v>210070</v>
      </c>
      <c r="E148" s="751">
        <v>220000</v>
      </c>
      <c r="F148" s="69"/>
      <c r="G148" s="355">
        <v>205166.14249347866</v>
      </c>
      <c r="H148" s="730">
        <f t="shared" si="5"/>
        <v>210070</v>
      </c>
      <c r="I148" s="361"/>
      <c r="J148" s="361"/>
      <c r="K148" s="361"/>
      <c r="L148" s="361"/>
    </row>
    <row r="149" spans="2:12" ht="15" thickBot="1" x14ac:dyDescent="0.25">
      <c r="B149" s="16"/>
      <c r="C149" s="353" t="s">
        <v>328</v>
      </c>
      <c r="D149" s="355">
        <f t="shared" si="4"/>
        <v>222870</v>
      </c>
      <c r="E149" s="751">
        <v>240000</v>
      </c>
      <c r="F149" s="69"/>
      <c r="G149" s="355">
        <v>217662.97620751118</v>
      </c>
      <c r="H149" s="730">
        <f t="shared" si="5"/>
        <v>222870</v>
      </c>
      <c r="I149" s="361"/>
      <c r="J149" s="361"/>
      <c r="K149" s="361"/>
      <c r="L149" s="361"/>
    </row>
    <row r="150" spans="2:12" ht="15" thickBot="1" x14ac:dyDescent="0.25">
      <c r="B150" s="16"/>
      <c r="C150" s="353" t="s">
        <v>329</v>
      </c>
      <c r="D150" s="355">
        <f t="shared" si="4"/>
        <v>219480</v>
      </c>
      <c r="E150" s="751">
        <v>220000</v>
      </c>
      <c r="F150" s="69"/>
      <c r="G150" s="355">
        <v>214358.3224609585</v>
      </c>
      <c r="H150" s="730">
        <f t="shared" si="5"/>
        <v>219480</v>
      </c>
      <c r="I150" s="361"/>
      <c r="J150" s="361"/>
      <c r="K150" s="361"/>
      <c r="L150" s="361"/>
    </row>
    <row r="151" spans="2:12" ht="15" thickBot="1" x14ac:dyDescent="0.25">
      <c r="B151" s="16"/>
      <c r="C151" s="353" t="s">
        <v>330</v>
      </c>
      <c r="D151" s="355">
        <f t="shared" si="4"/>
        <v>219430</v>
      </c>
      <c r="E151" s="751">
        <v>220000</v>
      </c>
      <c r="F151" s="69"/>
      <c r="G151" s="355">
        <v>214308.80937472027</v>
      </c>
      <c r="H151" s="730">
        <f t="shared" si="5"/>
        <v>219430</v>
      </c>
      <c r="I151" s="361"/>
      <c r="J151" s="361"/>
      <c r="K151" s="361"/>
      <c r="L151" s="361"/>
    </row>
    <row r="152" spans="2:12" ht="15" thickBot="1" x14ac:dyDescent="0.25">
      <c r="B152" s="16"/>
      <c r="C152" s="353" t="s">
        <v>462</v>
      </c>
      <c r="D152" s="355">
        <f t="shared" si="4"/>
        <v>220230</v>
      </c>
      <c r="E152" s="751">
        <v>220000</v>
      </c>
      <c r="F152" s="69"/>
      <c r="G152" s="355">
        <v>215091.02875453202</v>
      </c>
      <c r="H152" s="730">
        <f t="shared" si="5"/>
        <v>220230</v>
      </c>
      <c r="I152" s="361"/>
      <c r="J152" s="361"/>
      <c r="K152" s="361"/>
      <c r="L152" s="361"/>
    </row>
    <row r="153" spans="2:12" ht="15" thickBot="1" x14ac:dyDescent="0.25">
      <c r="B153" s="16"/>
      <c r="C153" s="353" t="s">
        <v>463</v>
      </c>
      <c r="D153" s="355">
        <f t="shared" si="4"/>
        <v>218520</v>
      </c>
      <c r="E153" s="751">
        <v>220000</v>
      </c>
      <c r="F153" s="69"/>
      <c r="G153" s="355">
        <v>213417.56382243201</v>
      </c>
      <c r="H153" s="730">
        <f t="shared" si="5"/>
        <v>218520</v>
      </c>
      <c r="I153" s="361"/>
      <c r="J153" s="361"/>
      <c r="K153" s="361"/>
      <c r="L153" s="361"/>
    </row>
    <row r="154" spans="2:12" ht="15" thickBot="1" x14ac:dyDescent="0.25">
      <c r="B154" s="16"/>
      <c r="C154" s="353" t="s">
        <v>331</v>
      </c>
      <c r="D154" s="355">
        <f t="shared" si="4"/>
        <v>219480</v>
      </c>
      <c r="E154" s="751">
        <v>220000</v>
      </c>
      <c r="F154" s="69"/>
      <c r="G154" s="355">
        <v>214358.3224609585</v>
      </c>
      <c r="H154" s="730">
        <f t="shared" si="5"/>
        <v>219480</v>
      </c>
      <c r="I154" s="361"/>
      <c r="J154" s="361"/>
      <c r="K154" s="361"/>
      <c r="L154" s="361"/>
    </row>
    <row r="155" spans="2:12" ht="15" thickBot="1" x14ac:dyDescent="0.25">
      <c r="B155" s="16"/>
      <c r="C155" s="353" t="s">
        <v>332</v>
      </c>
      <c r="D155" s="355">
        <f t="shared" si="4"/>
        <v>212210</v>
      </c>
      <c r="E155" s="751">
        <v>220000</v>
      </c>
      <c r="F155" s="69"/>
      <c r="G155" s="355">
        <v>207250.49708712974</v>
      </c>
      <c r="H155" s="730">
        <f t="shared" si="5"/>
        <v>212210</v>
      </c>
      <c r="I155" s="361"/>
      <c r="J155" s="361"/>
      <c r="K155" s="361"/>
      <c r="L155" s="361"/>
    </row>
    <row r="156" spans="2:12" ht="15" thickBot="1" x14ac:dyDescent="0.25">
      <c r="B156" s="16"/>
      <c r="C156" s="353" t="s">
        <v>333</v>
      </c>
      <c r="D156" s="355">
        <f t="shared" si="4"/>
        <v>211270</v>
      </c>
      <c r="E156" s="751">
        <v>220000</v>
      </c>
      <c r="F156" s="69"/>
      <c r="G156" s="355">
        <v>206336.45980775903</v>
      </c>
      <c r="H156" s="730">
        <f t="shared" si="5"/>
        <v>211270</v>
      </c>
      <c r="I156" s="361"/>
      <c r="J156" s="361"/>
      <c r="K156" s="361"/>
      <c r="L156" s="361"/>
    </row>
    <row r="157" spans="2:12" ht="15" thickBot="1" x14ac:dyDescent="0.25">
      <c r="B157" s="16"/>
      <c r="C157" s="353" t="s">
        <v>334</v>
      </c>
      <c r="D157" s="355">
        <f t="shared" si="4"/>
        <v>212940</v>
      </c>
      <c r="E157" s="751">
        <v>220000</v>
      </c>
      <c r="F157" s="69"/>
      <c r="G157" s="355">
        <v>207968.41599189606</v>
      </c>
      <c r="H157" s="730">
        <f t="shared" si="5"/>
        <v>212940</v>
      </c>
      <c r="I157" s="361"/>
      <c r="J157" s="361"/>
      <c r="K157" s="361"/>
      <c r="L157" s="361"/>
    </row>
    <row r="158" spans="2:12" ht="15" thickBot="1" x14ac:dyDescent="0.25">
      <c r="B158" s="16"/>
      <c r="C158" s="353" t="s">
        <v>335</v>
      </c>
      <c r="D158" s="355">
        <f t="shared" si="4"/>
        <v>212160</v>
      </c>
      <c r="E158" s="751">
        <v>220000</v>
      </c>
      <c r="F158" s="69"/>
      <c r="G158" s="355">
        <v>207203.96249347867</v>
      </c>
      <c r="H158" s="730">
        <f t="shared" si="5"/>
        <v>212160</v>
      </c>
      <c r="I158" s="361"/>
      <c r="J158" s="361"/>
      <c r="K158" s="361"/>
      <c r="L158" s="361"/>
    </row>
    <row r="159" spans="2:12" ht="15" thickBot="1" x14ac:dyDescent="0.25">
      <c r="B159" s="16"/>
      <c r="C159" s="353" t="s">
        <v>336</v>
      </c>
      <c r="D159" s="355">
        <f t="shared" si="4"/>
        <v>222870</v>
      </c>
      <c r="E159" s="751">
        <v>240000</v>
      </c>
      <c r="F159" s="69"/>
      <c r="G159" s="355">
        <v>217662.97620751118</v>
      </c>
      <c r="H159" s="730">
        <f t="shared" si="5"/>
        <v>222870</v>
      </c>
      <c r="I159" s="361"/>
      <c r="J159" s="361"/>
      <c r="K159" s="361"/>
      <c r="L159" s="361"/>
    </row>
    <row r="160" spans="2:12" ht="15" thickBot="1" x14ac:dyDescent="0.25">
      <c r="B160" s="16"/>
      <c r="C160" s="353" t="s">
        <v>337</v>
      </c>
      <c r="D160" s="355">
        <f t="shared" si="4"/>
        <v>219480</v>
      </c>
      <c r="E160" s="751">
        <v>220000</v>
      </c>
      <c r="F160" s="69"/>
      <c r="G160" s="355">
        <v>214358.3224609585</v>
      </c>
      <c r="H160" s="730">
        <f t="shared" si="5"/>
        <v>219480</v>
      </c>
      <c r="I160" s="361"/>
      <c r="J160" s="361"/>
      <c r="K160" s="361"/>
      <c r="L160" s="361"/>
    </row>
    <row r="161" spans="2:12" ht="15" thickBot="1" x14ac:dyDescent="0.25">
      <c r="B161" s="16"/>
      <c r="C161" s="353" t="s">
        <v>338</v>
      </c>
      <c r="D161" s="355">
        <f t="shared" si="4"/>
        <v>219430</v>
      </c>
      <c r="E161" s="751">
        <v>220000</v>
      </c>
      <c r="F161" s="69"/>
      <c r="G161" s="355">
        <v>214308.80937472027</v>
      </c>
      <c r="H161" s="730">
        <f t="shared" si="5"/>
        <v>219430</v>
      </c>
      <c r="I161" s="361"/>
      <c r="J161" s="361"/>
      <c r="K161" s="361"/>
      <c r="L161" s="361"/>
    </row>
    <row r="162" spans="2:12" ht="15" thickBot="1" x14ac:dyDescent="0.25">
      <c r="B162" s="16"/>
      <c r="C162" s="353" t="s">
        <v>464</v>
      </c>
      <c r="D162" s="355">
        <f t="shared" si="4"/>
        <v>220230</v>
      </c>
      <c r="E162" s="751">
        <v>220000</v>
      </c>
      <c r="F162" s="69"/>
      <c r="G162" s="355">
        <v>215091.02875453202</v>
      </c>
      <c r="H162" s="730">
        <f t="shared" si="5"/>
        <v>220230</v>
      </c>
      <c r="I162" s="361"/>
      <c r="J162" s="361"/>
      <c r="K162" s="361"/>
      <c r="L162" s="361"/>
    </row>
    <row r="163" spans="2:12" ht="15" thickBot="1" x14ac:dyDescent="0.25">
      <c r="B163" s="16"/>
      <c r="C163" s="353" t="s">
        <v>465</v>
      </c>
      <c r="D163" s="355">
        <f t="shared" si="4"/>
        <v>218520</v>
      </c>
      <c r="E163" s="751">
        <v>220000</v>
      </c>
      <c r="F163" s="69"/>
      <c r="G163" s="355">
        <v>213417.56382243201</v>
      </c>
      <c r="H163" s="730">
        <f t="shared" si="5"/>
        <v>218520</v>
      </c>
      <c r="I163" s="361"/>
      <c r="J163" s="361"/>
      <c r="K163" s="361"/>
      <c r="L163" s="361"/>
    </row>
    <row r="164" spans="2:12" ht="15" thickBot="1" x14ac:dyDescent="0.25">
      <c r="B164" s="16"/>
      <c r="C164" s="353" t="s">
        <v>339</v>
      </c>
      <c r="D164" s="355">
        <f t="shared" si="4"/>
        <v>220730</v>
      </c>
      <c r="E164" s="751">
        <v>220000</v>
      </c>
      <c r="F164" s="69"/>
      <c r="G164" s="355">
        <v>215573.58200972635</v>
      </c>
      <c r="H164" s="730">
        <f t="shared" si="5"/>
        <v>220730</v>
      </c>
      <c r="I164" s="361"/>
      <c r="J164" s="361"/>
      <c r="K164" s="361"/>
      <c r="L164" s="361"/>
    </row>
    <row r="165" spans="2:12" ht="15" thickBot="1" x14ac:dyDescent="0.25">
      <c r="B165" s="16"/>
      <c r="C165" s="353" t="s">
        <v>340</v>
      </c>
      <c r="D165" s="355">
        <f t="shared" si="4"/>
        <v>213410</v>
      </c>
      <c r="E165" s="751">
        <v>220000</v>
      </c>
      <c r="F165" s="69"/>
      <c r="G165" s="355">
        <v>208431.78964943456</v>
      </c>
      <c r="H165" s="730">
        <f t="shared" si="5"/>
        <v>213410</v>
      </c>
      <c r="I165" s="361"/>
      <c r="J165" s="361"/>
      <c r="K165" s="361"/>
      <c r="L165" s="361"/>
    </row>
    <row r="166" spans="2:12" ht="15" thickBot="1" x14ac:dyDescent="0.25">
      <c r="B166" s="16"/>
      <c r="C166" s="353" t="s">
        <v>341</v>
      </c>
      <c r="D166" s="355">
        <f t="shared" si="4"/>
        <v>212480</v>
      </c>
      <c r="E166" s="751">
        <v>220000</v>
      </c>
      <c r="F166" s="69"/>
      <c r="G166" s="355">
        <v>207518.32047687122</v>
      </c>
      <c r="H166" s="730">
        <f t="shared" si="5"/>
        <v>212480</v>
      </c>
      <c r="I166" s="361"/>
      <c r="J166" s="361"/>
      <c r="K166" s="361"/>
      <c r="L166" s="361"/>
    </row>
    <row r="167" spans="2:12" ht="15" thickBot="1" x14ac:dyDescent="0.25">
      <c r="B167" s="16"/>
      <c r="C167" s="353" t="s">
        <v>342</v>
      </c>
      <c r="D167" s="355">
        <f t="shared" si="4"/>
        <v>212070</v>
      </c>
      <c r="E167" s="751">
        <v>220000</v>
      </c>
      <c r="F167" s="69"/>
      <c r="G167" s="355">
        <v>207119.36478566876</v>
      </c>
      <c r="H167" s="730">
        <f t="shared" si="5"/>
        <v>212070</v>
      </c>
      <c r="I167" s="361"/>
      <c r="J167" s="361"/>
      <c r="K167" s="361"/>
      <c r="L167" s="361"/>
    </row>
    <row r="168" spans="2:12" ht="15" thickBot="1" x14ac:dyDescent="0.25">
      <c r="B168" s="16"/>
      <c r="C168" s="353" t="s">
        <v>343</v>
      </c>
      <c r="D168" s="355">
        <f t="shared" si="4"/>
        <v>213370</v>
      </c>
      <c r="E168" s="751">
        <v>220000</v>
      </c>
      <c r="F168" s="69"/>
      <c r="G168" s="355">
        <v>208384.76864035227</v>
      </c>
      <c r="H168" s="730">
        <f t="shared" si="5"/>
        <v>213370</v>
      </c>
      <c r="I168" s="361"/>
      <c r="J168" s="361"/>
      <c r="K168" s="361"/>
      <c r="L168" s="361"/>
    </row>
    <row r="169" spans="2:12" ht="15" thickBot="1" x14ac:dyDescent="0.25">
      <c r="B169" s="16"/>
      <c r="C169" s="353" t="s">
        <v>344</v>
      </c>
      <c r="D169" s="355">
        <f t="shared" si="4"/>
        <v>224000</v>
      </c>
      <c r="E169" s="751">
        <v>240000</v>
      </c>
      <c r="F169" s="69"/>
      <c r="G169" s="355">
        <v>218772.49428074574</v>
      </c>
      <c r="H169" s="730">
        <f t="shared" si="5"/>
        <v>224000</v>
      </c>
      <c r="I169" s="361"/>
      <c r="J169" s="361"/>
      <c r="K169" s="361"/>
      <c r="L169" s="361"/>
    </row>
    <row r="170" spans="2:12" ht="15" thickBot="1" x14ac:dyDescent="0.25">
      <c r="B170" s="16"/>
      <c r="C170" s="353" t="s">
        <v>345</v>
      </c>
      <c r="D170" s="355">
        <f t="shared" si="4"/>
        <v>220730</v>
      </c>
      <c r="E170" s="751">
        <v>220000</v>
      </c>
      <c r="F170" s="69"/>
      <c r="G170" s="355">
        <v>215573.58200972635</v>
      </c>
      <c r="H170" s="730">
        <f t="shared" si="5"/>
        <v>220730</v>
      </c>
      <c r="I170" s="361"/>
      <c r="J170" s="361"/>
      <c r="K170" s="361"/>
      <c r="L170" s="361"/>
    </row>
    <row r="171" spans="2:12" ht="15" thickBot="1" x14ac:dyDescent="0.25">
      <c r="B171" s="16"/>
      <c r="C171" s="353" t="s">
        <v>346</v>
      </c>
      <c r="D171" s="355">
        <f t="shared" si="4"/>
        <v>220680</v>
      </c>
      <c r="E171" s="751">
        <v>220000</v>
      </c>
      <c r="F171" s="69"/>
      <c r="G171" s="355">
        <v>215523.56488696107</v>
      </c>
      <c r="H171" s="730">
        <f t="shared" si="5"/>
        <v>220680</v>
      </c>
      <c r="I171" s="361"/>
      <c r="J171" s="361"/>
      <c r="K171" s="361"/>
      <c r="L171" s="361"/>
    </row>
    <row r="172" spans="2:12" ht="15" thickBot="1" x14ac:dyDescent="0.25">
      <c r="B172" s="16"/>
      <c r="C172" s="353" t="s">
        <v>466</v>
      </c>
      <c r="D172" s="355">
        <f t="shared" si="4"/>
        <v>221490</v>
      </c>
      <c r="E172" s="751">
        <v>220000</v>
      </c>
      <c r="F172" s="69"/>
      <c r="G172" s="355">
        <v>216313.97885120488</v>
      </c>
      <c r="H172" s="730">
        <f t="shared" si="5"/>
        <v>221490</v>
      </c>
      <c r="I172" s="361"/>
      <c r="J172" s="361"/>
      <c r="K172" s="361"/>
      <c r="L172" s="361"/>
    </row>
    <row r="173" spans="2:12" ht="15" thickBot="1" x14ac:dyDescent="0.25">
      <c r="B173" s="16"/>
      <c r="C173" s="353" t="s">
        <v>467</v>
      </c>
      <c r="D173" s="355">
        <f t="shared" si="4"/>
        <v>217680</v>
      </c>
      <c r="E173" s="751">
        <v>220000</v>
      </c>
      <c r="F173" s="69"/>
      <c r="G173" s="355">
        <v>212595.25667718682</v>
      </c>
      <c r="H173" s="730">
        <f t="shared" si="5"/>
        <v>217680</v>
      </c>
      <c r="I173" s="361"/>
      <c r="J173" s="361"/>
      <c r="K173" s="361"/>
      <c r="L173" s="361"/>
    </row>
    <row r="174" spans="2:12" ht="15" thickBot="1" x14ac:dyDescent="0.25">
      <c r="B174" s="16"/>
      <c r="C174" s="353" t="s">
        <v>347</v>
      </c>
      <c r="D174" s="355">
        <f t="shared" si="4"/>
        <v>218640</v>
      </c>
      <c r="E174" s="751">
        <v>220000</v>
      </c>
      <c r="F174" s="69"/>
      <c r="G174" s="355">
        <v>213535.75200972633</v>
      </c>
      <c r="H174" s="730">
        <f t="shared" si="5"/>
        <v>218640</v>
      </c>
      <c r="I174" s="361"/>
      <c r="J174" s="361"/>
      <c r="K174" s="361"/>
      <c r="L174" s="361"/>
    </row>
    <row r="175" spans="2:12" ht="15" thickBot="1" x14ac:dyDescent="0.25">
      <c r="B175" s="16"/>
      <c r="C175" s="353" t="s">
        <v>348</v>
      </c>
      <c r="D175" s="355">
        <f t="shared" si="4"/>
        <v>213410</v>
      </c>
      <c r="E175" s="751">
        <v>220000</v>
      </c>
      <c r="F175" s="69"/>
      <c r="G175" s="355">
        <v>208431.80964943455</v>
      </c>
      <c r="H175" s="730">
        <f t="shared" si="5"/>
        <v>213410</v>
      </c>
      <c r="I175" s="361"/>
      <c r="J175" s="361"/>
      <c r="K175" s="361"/>
      <c r="L175" s="361"/>
    </row>
    <row r="176" spans="2:12" ht="15" thickBot="1" x14ac:dyDescent="0.25">
      <c r="B176" s="16"/>
      <c r="C176" s="353" t="s">
        <v>349</v>
      </c>
      <c r="D176" s="355">
        <f t="shared" si="4"/>
        <v>212480</v>
      </c>
      <c r="E176" s="751">
        <v>220000</v>
      </c>
      <c r="F176" s="69"/>
      <c r="G176" s="355">
        <v>207518.32047687122</v>
      </c>
      <c r="H176" s="730">
        <f t="shared" si="5"/>
        <v>212480</v>
      </c>
      <c r="I176" s="361"/>
      <c r="J176" s="361"/>
      <c r="K176" s="361"/>
      <c r="L176" s="361"/>
    </row>
    <row r="177" spans="2:12" ht="15" thickBot="1" x14ac:dyDescent="0.25">
      <c r="B177" s="16"/>
      <c r="C177" s="353" t="s">
        <v>350</v>
      </c>
      <c r="D177" s="355">
        <f t="shared" si="4"/>
        <v>212070</v>
      </c>
      <c r="E177" s="751">
        <v>220000</v>
      </c>
      <c r="F177" s="69"/>
      <c r="G177" s="355">
        <v>207119.36478566876</v>
      </c>
      <c r="H177" s="730">
        <f t="shared" si="5"/>
        <v>212070</v>
      </c>
      <c r="I177" s="361"/>
      <c r="J177" s="361"/>
      <c r="K177" s="361"/>
      <c r="L177" s="361"/>
    </row>
    <row r="178" spans="2:12" ht="15" thickBot="1" x14ac:dyDescent="0.25">
      <c r="B178" s="16"/>
      <c r="C178" s="353" t="s">
        <v>351</v>
      </c>
      <c r="D178" s="355">
        <f t="shared" si="4"/>
        <v>213370</v>
      </c>
      <c r="E178" s="751">
        <v>220000</v>
      </c>
      <c r="F178" s="69"/>
      <c r="G178" s="355">
        <v>208384.76864035227</v>
      </c>
      <c r="H178" s="730">
        <f t="shared" si="5"/>
        <v>213370</v>
      </c>
      <c r="I178" s="361"/>
      <c r="J178" s="361"/>
      <c r="K178" s="361"/>
      <c r="L178" s="361"/>
    </row>
    <row r="179" spans="2:12" ht="15" thickBot="1" x14ac:dyDescent="0.25">
      <c r="B179" s="16"/>
      <c r="C179" s="353" t="s">
        <v>352</v>
      </c>
      <c r="D179" s="355">
        <f t="shared" si="4"/>
        <v>224000</v>
      </c>
      <c r="E179" s="751">
        <v>240000</v>
      </c>
      <c r="F179" s="69"/>
      <c r="G179" s="355">
        <v>218772.49428074574</v>
      </c>
      <c r="H179" s="730">
        <f t="shared" si="5"/>
        <v>224000</v>
      </c>
      <c r="I179" s="361"/>
      <c r="J179" s="361"/>
      <c r="K179" s="361"/>
      <c r="L179" s="361"/>
    </row>
    <row r="180" spans="2:12" ht="15" thickBot="1" x14ac:dyDescent="0.25">
      <c r="B180" s="16"/>
      <c r="C180" s="353" t="s">
        <v>353</v>
      </c>
      <c r="D180" s="355">
        <f t="shared" si="4"/>
        <v>218640</v>
      </c>
      <c r="E180" s="751">
        <v>220000</v>
      </c>
      <c r="F180" s="69"/>
      <c r="G180" s="355">
        <v>213535.75200972633</v>
      </c>
      <c r="H180" s="730">
        <f t="shared" si="5"/>
        <v>218640</v>
      </c>
      <c r="I180" s="361"/>
      <c r="J180" s="361"/>
      <c r="K180" s="361"/>
      <c r="L180" s="361"/>
    </row>
    <row r="181" spans="2:12" ht="15" thickBot="1" x14ac:dyDescent="0.25">
      <c r="B181" s="16"/>
      <c r="C181" s="353" t="s">
        <v>354</v>
      </c>
      <c r="D181" s="355">
        <f t="shared" si="4"/>
        <v>218590</v>
      </c>
      <c r="E181" s="751">
        <v>220000</v>
      </c>
      <c r="F181" s="69"/>
      <c r="G181" s="355">
        <v>213485.73488696106</v>
      </c>
      <c r="H181" s="730">
        <f t="shared" si="5"/>
        <v>218590</v>
      </c>
      <c r="I181" s="361"/>
      <c r="J181" s="361"/>
      <c r="K181" s="361"/>
      <c r="L181" s="361"/>
    </row>
    <row r="182" spans="2:12" ht="15" thickBot="1" x14ac:dyDescent="0.25">
      <c r="B182" s="16"/>
      <c r="C182" s="353" t="s">
        <v>468</v>
      </c>
      <c r="D182" s="355">
        <f t="shared" si="4"/>
        <v>219400</v>
      </c>
      <c r="E182" s="751">
        <v>220000</v>
      </c>
      <c r="F182" s="69"/>
      <c r="G182" s="355">
        <v>214276.14885120487</v>
      </c>
      <c r="H182" s="730">
        <f t="shared" si="5"/>
        <v>219400</v>
      </c>
      <c r="I182" s="361"/>
      <c r="J182" s="361"/>
      <c r="K182" s="361"/>
      <c r="L182" s="361"/>
    </row>
    <row r="183" spans="2:12" ht="15" thickBot="1" x14ac:dyDescent="0.25">
      <c r="B183" s="16"/>
      <c r="C183" s="353" t="s">
        <v>469</v>
      </c>
      <c r="D183" s="355">
        <f t="shared" si="4"/>
        <v>217680</v>
      </c>
      <c r="E183" s="751">
        <v>220000</v>
      </c>
      <c r="F183" s="69"/>
      <c r="G183" s="355">
        <v>212595.25667718682</v>
      </c>
      <c r="H183" s="730">
        <f t="shared" si="5"/>
        <v>217680</v>
      </c>
      <c r="I183" s="361"/>
      <c r="J183" s="361"/>
      <c r="K183" s="361"/>
      <c r="L183" s="361"/>
    </row>
    <row r="184" spans="2:12" ht="15" thickBot="1" x14ac:dyDescent="0.25">
      <c r="B184" s="16"/>
      <c r="C184" s="353" t="s">
        <v>355</v>
      </c>
      <c r="D184" s="355">
        <f t="shared" si="4"/>
        <v>221980</v>
      </c>
      <c r="E184" s="751">
        <v>220000</v>
      </c>
      <c r="F184" s="69"/>
      <c r="G184" s="355">
        <v>216798.84155849417</v>
      </c>
      <c r="H184" s="730">
        <f t="shared" si="5"/>
        <v>221980</v>
      </c>
      <c r="I184" s="361"/>
      <c r="J184" s="361"/>
      <c r="K184" s="361"/>
      <c r="L184" s="361"/>
    </row>
    <row r="185" spans="2:12" ht="15" thickBot="1" x14ac:dyDescent="0.25">
      <c r="B185" s="16"/>
      <c r="C185" s="353" t="s">
        <v>356</v>
      </c>
      <c r="D185" s="355">
        <f t="shared" si="4"/>
        <v>214620</v>
      </c>
      <c r="E185" s="751">
        <v>220000</v>
      </c>
      <c r="F185" s="69"/>
      <c r="G185" s="355">
        <v>209613.11221173935</v>
      </c>
      <c r="H185" s="730">
        <f t="shared" si="5"/>
        <v>214620</v>
      </c>
      <c r="I185" s="361"/>
      <c r="J185" s="361"/>
      <c r="K185" s="361"/>
      <c r="L185" s="361"/>
    </row>
    <row r="186" spans="2:12" ht="15" thickBot="1" x14ac:dyDescent="0.25">
      <c r="B186" s="16"/>
      <c r="C186" s="353" t="s">
        <v>357</v>
      </c>
      <c r="D186" s="355">
        <f t="shared" si="4"/>
        <v>213690</v>
      </c>
      <c r="E186" s="751">
        <v>220000</v>
      </c>
      <c r="F186" s="69"/>
      <c r="G186" s="355">
        <v>208700.16114598338</v>
      </c>
      <c r="H186" s="730">
        <f t="shared" si="5"/>
        <v>213690</v>
      </c>
      <c r="I186" s="361"/>
      <c r="J186" s="361"/>
      <c r="K186" s="361"/>
      <c r="L186" s="361"/>
    </row>
    <row r="187" spans="2:12" ht="15" thickBot="1" x14ac:dyDescent="0.25">
      <c r="B187" s="16"/>
      <c r="C187" s="353" t="s">
        <v>358</v>
      </c>
      <c r="D187" s="355">
        <f t="shared" si="4"/>
        <v>215370</v>
      </c>
      <c r="E187" s="751">
        <v>220000</v>
      </c>
      <c r="F187" s="69"/>
      <c r="G187" s="355">
        <v>210345.95357944141</v>
      </c>
      <c r="H187" s="730">
        <f t="shared" si="5"/>
        <v>215370</v>
      </c>
      <c r="I187" s="361"/>
      <c r="J187" s="361"/>
      <c r="K187" s="361"/>
      <c r="L187" s="361"/>
    </row>
    <row r="188" spans="2:12" ht="15" thickBot="1" x14ac:dyDescent="0.25">
      <c r="B188" s="16"/>
      <c r="C188" s="353" t="s">
        <v>359</v>
      </c>
      <c r="D188" s="355">
        <f t="shared" si="4"/>
        <v>214580</v>
      </c>
      <c r="E188" s="751">
        <v>220000</v>
      </c>
      <c r="F188" s="69"/>
      <c r="G188" s="355">
        <v>209565.58478722585</v>
      </c>
      <c r="H188" s="730">
        <f t="shared" si="5"/>
        <v>214580</v>
      </c>
      <c r="I188" s="361"/>
      <c r="J188" s="361"/>
      <c r="K188" s="361"/>
      <c r="L188" s="361"/>
    </row>
    <row r="189" spans="2:12" ht="15" thickBot="1" x14ac:dyDescent="0.25">
      <c r="B189" s="16"/>
      <c r="C189" s="353" t="s">
        <v>360</v>
      </c>
      <c r="D189" s="355">
        <f t="shared" si="4"/>
        <v>225140</v>
      </c>
      <c r="E189" s="751">
        <v>240000</v>
      </c>
      <c r="F189" s="69"/>
      <c r="G189" s="355">
        <v>219882.00235398038</v>
      </c>
      <c r="H189" s="730">
        <f t="shared" si="5"/>
        <v>225140</v>
      </c>
      <c r="I189" s="361"/>
      <c r="J189" s="361"/>
      <c r="K189" s="361"/>
      <c r="L189" s="361"/>
    </row>
    <row r="190" spans="2:12" ht="15" thickBot="1" x14ac:dyDescent="0.25">
      <c r="B190" s="16"/>
      <c r="C190" s="353" t="s">
        <v>361</v>
      </c>
      <c r="D190" s="355">
        <f t="shared" si="4"/>
        <v>219900</v>
      </c>
      <c r="E190" s="751">
        <v>220000</v>
      </c>
      <c r="F190" s="69"/>
      <c r="G190" s="355">
        <v>214761.01155849418</v>
      </c>
      <c r="H190" s="730">
        <f t="shared" si="5"/>
        <v>219900</v>
      </c>
      <c r="I190" s="361"/>
      <c r="J190" s="361"/>
      <c r="K190" s="361"/>
      <c r="L190" s="361"/>
    </row>
    <row r="191" spans="2:12" ht="15" thickBot="1" x14ac:dyDescent="0.25">
      <c r="B191" s="16"/>
      <c r="C191" s="353" t="s">
        <v>362</v>
      </c>
      <c r="D191" s="355">
        <f t="shared" si="4"/>
        <v>221930</v>
      </c>
      <c r="E191" s="751">
        <v>220000</v>
      </c>
      <c r="F191" s="69"/>
      <c r="G191" s="355">
        <v>216748.31039920193</v>
      </c>
      <c r="H191" s="730">
        <f t="shared" si="5"/>
        <v>221930</v>
      </c>
      <c r="I191" s="361"/>
      <c r="J191" s="361"/>
      <c r="K191" s="361"/>
      <c r="L191" s="361"/>
    </row>
    <row r="192" spans="2:12" ht="15" thickBot="1" x14ac:dyDescent="0.25">
      <c r="B192" s="16"/>
      <c r="C192" s="353" t="s">
        <v>470</v>
      </c>
      <c r="D192" s="355">
        <f t="shared" si="4"/>
        <v>222750</v>
      </c>
      <c r="E192" s="751">
        <v>220000</v>
      </c>
      <c r="F192" s="69"/>
      <c r="G192" s="355">
        <v>217546.93894787776</v>
      </c>
      <c r="H192" s="730">
        <f t="shared" si="5"/>
        <v>222750</v>
      </c>
      <c r="I192" s="361"/>
      <c r="J192" s="361"/>
      <c r="K192" s="361"/>
      <c r="L192" s="361"/>
    </row>
    <row r="193" spans="2:12" ht="15" thickBot="1" x14ac:dyDescent="0.25">
      <c r="B193" s="16"/>
      <c r="C193" s="353" t="s">
        <v>471</v>
      </c>
      <c r="D193" s="355">
        <f t="shared" si="4"/>
        <v>218920</v>
      </c>
      <c r="E193" s="751">
        <v>220000</v>
      </c>
      <c r="F193" s="69"/>
      <c r="G193" s="355">
        <v>213810.77953194163</v>
      </c>
      <c r="H193" s="730">
        <f t="shared" si="5"/>
        <v>218920</v>
      </c>
      <c r="I193" s="361"/>
      <c r="J193" s="361"/>
      <c r="K193" s="361"/>
      <c r="L193" s="361"/>
    </row>
    <row r="194" spans="2:12" ht="15" thickBot="1" x14ac:dyDescent="0.25">
      <c r="B194" s="16"/>
      <c r="C194" s="353" t="s">
        <v>363</v>
      </c>
      <c r="D194" s="355">
        <f t="shared" si="4"/>
        <v>219900</v>
      </c>
      <c r="E194" s="751">
        <v>220000</v>
      </c>
      <c r="F194" s="69"/>
      <c r="G194" s="355">
        <v>214761.01155849418</v>
      </c>
      <c r="H194" s="730">
        <f t="shared" si="5"/>
        <v>219900</v>
      </c>
      <c r="I194" s="361"/>
      <c r="J194" s="361"/>
      <c r="K194" s="361"/>
      <c r="L194" s="361"/>
    </row>
    <row r="195" spans="2:12" ht="15" thickBot="1" x14ac:dyDescent="0.25">
      <c r="B195" s="16"/>
      <c r="C195" s="353" t="s">
        <v>364</v>
      </c>
      <c r="D195" s="355">
        <f t="shared" si="4"/>
        <v>214620</v>
      </c>
      <c r="E195" s="751">
        <v>220000</v>
      </c>
      <c r="F195" s="69"/>
      <c r="G195" s="355">
        <v>209613.11221173935</v>
      </c>
      <c r="H195" s="730">
        <f t="shared" si="5"/>
        <v>214620</v>
      </c>
      <c r="I195" s="361"/>
      <c r="J195" s="361"/>
      <c r="K195" s="361"/>
      <c r="L195" s="361"/>
    </row>
    <row r="196" spans="2:12" ht="15" thickBot="1" x14ac:dyDescent="0.25">
      <c r="B196" s="16"/>
      <c r="C196" s="353" t="s">
        <v>365</v>
      </c>
      <c r="D196" s="355">
        <f t="shared" si="4"/>
        <v>213690</v>
      </c>
      <c r="E196" s="751">
        <v>220000</v>
      </c>
      <c r="F196" s="69"/>
      <c r="G196" s="355">
        <v>208700.16114598338</v>
      </c>
      <c r="H196" s="730">
        <f t="shared" si="5"/>
        <v>213690</v>
      </c>
      <c r="I196" s="361"/>
      <c r="J196" s="361"/>
      <c r="K196" s="361"/>
      <c r="L196" s="361"/>
    </row>
    <row r="197" spans="2:12" ht="15" thickBot="1" x14ac:dyDescent="0.25">
      <c r="B197" s="16"/>
      <c r="C197" s="353" t="s">
        <v>366</v>
      </c>
      <c r="D197" s="355">
        <f t="shared" si="4"/>
        <v>215370</v>
      </c>
      <c r="E197" s="751">
        <v>220000</v>
      </c>
      <c r="F197" s="69"/>
      <c r="G197" s="355">
        <v>210345.95357944141</v>
      </c>
      <c r="H197" s="730">
        <f t="shared" si="5"/>
        <v>215370</v>
      </c>
      <c r="I197" s="361"/>
      <c r="J197" s="361"/>
      <c r="K197" s="361"/>
      <c r="L197" s="361"/>
    </row>
    <row r="198" spans="2:12" ht="15" thickBot="1" x14ac:dyDescent="0.25">
      <c r="B198" s="16"/>
      <c r="C198" s="353" t="s">
        <v>367</v>
      </c>
      <c r="D198" s="355">
        <f t="shared" si="4"/>
        <v>214580</v>
      </c>
      <c r="E198" s="751">
        <v>220000</v>
      </c>
      <c r="F198" s="69"/>
      <c r="G198" s="355">
        <v>209565.58478722585</v>
      </c>
      <c r="H198" s="730">
        <f t="shared" si="5"/>
        <v>214580</v>
      </c>
      <c r="I198" s="361"/>
      <c r="J198" s="361"/>
      <c r="K198" s="361"/>
      <c r="L198" s="361"/>
    </row>
    <row r="199" spans="2:12" ht="15" thickBot="1" x14ac:dyDescent="0.25">
      <c r="B199" s="16"/>
      <c r="C199" s="353" t="s">
        <v>368</v>
      </c>
      <c r="D199" s="355">
        <f t="shared" si="4"/>
        <v>225140</v>
      </c>
      <c r="E199" s="751">
        <v>240000</v>
      </c>
      <c r="F199" s="69"/>
      <c r="G199" s="355">
        <v>219882.00235398038</v>
      </c>
      <c r="H199" s="730">
        <f t="shared" si="5"/>
        <v>225140</v>
      </c>
      <c r="I199" s="361"/>
      <c r="J199" s="361"/>
      <c r="K199" s="361"/>
      <c r="L199" s="361"/>
    </row>
    <row r="200" spans="2:12" ht="15" thickBot="1" x14ac:dyDescent="0.25">
      <c r="B200" s="16"/>
      <c r="C200" s="353" t="s">
        <v>369</v>
      </c>
      <c r="D200" s="355">
        <f t="shared" si="4"/>
        <v>219900</v>
      </c>
      <c r="E200" s="751">
        <v>220000</v>
      </c>
      <c r="F200" s="69"/>
      <c r="G200" s="355">
        <v>214761.01155849418</v>
      </c>
      <c r="H200" s="730">
        <f t="shared" si="5"/>
        <v>219900</v>
      </c>
      <c r="I200" s="361"/>
      <c r="J200" s="361"/>
      <c r="K200" s="361"/>
      <c r="L200" s="361"/>
    </row>
    <row r="201" spans="2:12" ht="15" thickBot="1" x14ac:dyDescent="0.25">
      <c r="B201" s="16"/>
      <c r="C201" s="353" t="s">
        <v>370</v>
      </c>
      <c r="D201" s="355">
        <f t="shared" ref="D201:D259" si="6">ROUND((G201*$J$1),-1)</f>
        <v>221930</v>
      </c>
      <c r="E201" s="751">
        <v>220000</v>
      </c>
      <c r="F201" s="69"/>
      <c r="G201" s="355">
        <v>216748.31039920193</v>
      </c>
      <c r="H201" s="730">
        <f t="shared" si="5"/>
        <v>221930</v>
      </c>
      <c r="I201" s="361"/>
      <c r="J201" s="361"/>
      <c r="K201" s="361"/>
      <c r="L201" s="361"/>
    </row>
    <row r="202" spans="2:12" ht="15" thickBot="1" x14ac:dyDescent="0.25">
      <c r="B202" s="16"/>
      <c r="C202" s="353" t="s">
        <v>472</v>
      </c>
      <c r="D202" s="355">
        <f t="shared" si="6"/>
        <v>222750</v>
      </c>
      <c r="E202" s="751">
        <v>220000</v>
      </c>
      <c r="F202" s="69"/>
      <c r="G202" s="355">
        <v>217546.93894787776</v>
      </c>
      <c r="H202" s="730">
        <f t="shared" ref="H202:H265" si="7">D202</f>
        <v>222750</v>
      </c>
      <c r="I202" s="361"/>
      <c r="J202" s="361"/>
      <c r="K202" s="361"/>
      <c r="L202" s="361"/>
    </row>
    <row r="203" spans="2:12" ht="15" thickBot="1" x14ac:dyDescent="0.25">
      <c r="B203" s="16"/>
      <c r="C203" s="353" t="s">
        <v>473</v>
      </c>
      <c r="D203" s="355">
        <f t="shared" si="6"/>
        <v>221010</v>
      </c>
      <c r="E203" s="751">
        <v>220000</v>
      </c>
      <c r="F203" s="69"/>
      <c r="G203" s="355">
        <v>215848.60953194162</v>
      </c>
      <c r="H203" s="730">
        <f t="shared" si="7"/>
        <v>221010</v>
      </c>
      <c r="I203" s="361"/>
      <c r="J203" s="361"/>
      <c r="K203" s="361"/>
      <c r="L203" s="361"/>
    </row>
    <row r="204" spans="2:12" ht="15" thickBot="1" x14ac:dyDescent="0.25">
      <c r="B204" s="16"/>
      <c r="C204" s="353" t="s">
        <v>371</v>
      </c>
      <c r="D204" s="355">
        <f t="shared" si="6"/>
        <v>246740</v>
      </c>
      <c r="E204" s="751">
        <v>223000</v>
      </c>
      <c r="F204" s="69"/>
      <c r="G204" s="355">
        <v>240976.741107262</v>
      </c>
      <c r="H204" s="730">
        <f t="shared" si="7"/>
        <v>246740</v>
      </c>
      <c r="I204" s="361"/>
      <c r="J204" s="361"/>
      <c r="K204" s="361"/>
      <c r="L204" s="361"/>
    </row>
    <row r="205" spans="2:12" ht="15" thickBot="1" x14ac:dyDescent="0.25">
      <c r="B205" s="16"/>
      <c r="C205" s="353" t="s">
        <v>372</v>
      </c>
      <c r="D205" s="355">
        <f t="shared" si="6"/>
        <v>241440</v>
      </c>
      <c r="E205" s="751">
        <v>223000</v>
      </c>
      <c r="F205" s="69"/>
      <c r="G205" s="355">
        <v>235804.87477404415</v>
      </c>
      <c r="H205" s="730">
        <f t="shared" si="7"/>
        <v>241440</v>
      </c>
      <c r="I205" s="361"/>
      <c r="J205" s="361"/>
      <c r="K205" s="361"/>
      <c r="L205" s="361"/>
    </row>
    <row r="206" spans="2:12" ht="15" thickBot="1" x14ac:dyDescent="0.25">
      <c r="B206" s="16"/>
      <c r="C206" s="353" t="s">
        <v>373</v>
      </c>
      <c r="D206" s="355">
        <f t="shared" si="6"/>
        <v>240500</v>
      </c>
      <c r="E206" s="751">
        <v>222000</v>
      </c>
      <c r="F206" s="69"/>
      <c r="G206" s="355">
        <v>234882.48181509555</v>
      </c>
      <c r="H206" s="730">
        <f t="shared" si="7"/>
        <v>240500</v>
      </c>
      <c r="I206" s="361"/>
      <c r="J206" s="361"/>
      <c r="K206" s="361"/>
      <c r="L206" s="361"/>
    </row>
    <row r="207" spans="2:12" ht="15" thickBot="1" x14ac:dyDescent="0.25">
      <c r="B207" s="16"/>
      <c r="C207" s="353" t="s">
        <v>374</v>
      </c>
      <c r="D207" s="355">
        <f t="shared" si="6"/>
        <v>242180</v>
      </c>
      <c r="E207" s="751">
        <v>223000</v>
      </c>
      <c r="F207" s="69"/>
      <c r="G207" s="355">
        <v>236525.18237321405</v>
      </c>
      <c r="H207" s="730">
        <f t="shared" si="7"/>
        <v>242180</v>
      </c>
      <c r="I207" s="361"/>
      <c r="J207" s="361"/>
      <c r="K207" s="361"/>
      <c r="L207" s="361"/>
    </row>
    <row r="208" spans="2:12" ht="15" thickBot="1" x14ac:dyDescent="0.25">
      <c r="B208" s="16"/>
      <c r="C208" s="353" t="s">
        <v>375</v>
      </c>
      <c r="D208" s="355">
        <f t="shared" si="6"/>
        <v>239310</v>
      </c>
      <c r="E208" s="751">
        <v>223000</v>
      </c>
      <c r="F208" s="69"/>
      <c r="G208" s="355">
        <v>233719.02093409945</v>
      </c>
      <c r="H208" s="730">
        <f t="shared" si="7"/>
        <v>239310</v>
      </c>
      <c r="I208" s="361"/>
      <c r="J208" s="361"/>
      <c r="K208" s="361"/>
      <c r="L208" s="361"/>
    </row>
    <row r="209" spans="2:12" ht="15" thickBot="1" x14ac:dyDescent="0.25">
      <c r="B209" s="16"/>
      <c r="C209" s="353" t="s">
        <v>376</v>
      </c>
      <c r="D209" s="355">
        <f t="shared" si="6"/>
        <v>226270</v>
      </c>
      <c r="E209" s="751">
        <v>240000</v>
      </c>
      <c r="F209" s="69"/>
      <c r="G209" s="355">
        <v>220991.51042721496</v>
      </c>
      <c r="H209" s="730">
        <f t="shared" si="7"/>
        <v>226270</v>
      </c>
      <c r="I209" s="361"/>
      <c r="J209" s="361"/>
      <c r="K209" s="361"/>
      <c r="L209" s="361"/>
    </row>
    <row r="210" spans="2:12" ht="15" thickBot="1" x14ac:dyDescent="0.25">
      <c r="B210" s="16"/>
      <c r="C210" s="353" t="s">
        <v>377</v>
      </c>
      <c r="D210" s="355">
        <v>248795</v>
      </c>
      <c r="E210" s="751">
        <v>240000</v>
      </c>
      <c r="F210" s="69"/>
      <c r="G210" s="355">
        <v>243014.57110726199</v>
      </c>
      <c r="H210" s="730">
        <f t="shared" si="7"/>
        <v>248795</v>
      </c>
      <c r="I210" s="361"/>
      <c r="J210" s="361"/>
      <c r="K210" s="361"/>
      <c r="L210" s="361"/>
    </row>
    <row r="211" spans="2:12" ht="15" thickBot="1" x14ac:dyDescent="0.25">
      <c r="B211" s="16"/>
      <c r="C211" s="353" t="s">
        <v>378</v>
      </c>
      <c r="D211" s="355">
        <f t="shared" si="6"/>
        <v>246690</v>
      </c>
      <c r="E211" s="751">
        <v>240000</v>
      </c>
      <c r="F211" s="69"/>
      <c r="G211" s="355">
        <v>240925.69591144272</v>
      </c>
      <c r="H211" s="730">
        <f t="shared" si="7"/>
        <v>246690</v>
      </c>
      <c r="I211" s="361"/>
      <c r="J211" s="361"/>
      <c r="K211" s="361"/>
      <c r="L211" s="361"/>
    </row>
    <row r="212" spans="2:12" ht="15" thickBot="1" x14ac:dyDescent="0.25">
      <c r="B212" s="16"/>
      <c r="C212" s="353" t="s">
        <v>474</v>
      </c>
      <c r="D212" s="355">
        <v>248795</v>
      </c>
      <c r="E212" s="751">
        <v>240000</v>
      </c>
      <c r="F212" s="69"/>
      <c r="G212" s="355">
        <v>243770.34904455056</v>
      </c>
      <c r="H212" s="730">
        <f t="shared" si="7"/>
        <v>248795</v>
      </c>
      <c r="I212" s="361"/>
      <c r="J212" s="361"/>
      <c r="K212" s="361"/>
      <c r="L212" s="361"/>
    </row>
    <row r="213" spans="2:12" ht="15" thickBot="1" x14ac:dyDescent="0.25">
      <c r="B213" s="16"/>
      <c r="C213" s="353" t="s">
        <v>475</v>
      </c>
      <c r="D213" s="355">
        <f t="shared" si="6"/>
        <v>245760</v>
      </c>
      <c r="E213" s="751">
        <v>222000</v>
      </c>
      <c r="F213" s="69"/>
      <c r="G213" s="355">
        <v>240026.75238669643</v>
      </c>
      <c r="H213" s="730">
        <f t="shared" si="7"/>
        <v>245760</v>
      </c>
      <c r="I213" s="361"/>
      <c r="J213" s="361"/>
      <c r="K213" s="361"/>
      <c r="L213" s="361"/>
    </row>
    <row r="214" spans="2:12" ht="15" thickBot="1" x14ac:dyDescent="0.25">
      <c r="B214" s="16"/>
      <c r="C214" s="353" t="s">
        <v>476</v>
      </c>
      <c r="D214" s="355">
        <f t="shared" si="6"/>
        <v>246740</v>
      </c>
      <c r="E214" s="751">
        <v>240000</v>
      </c>
      <c r="F214" s="69"/>
      <c r="G214" s="355">
        <v>240976.741107262</v>
      </c>
      <c r="H214" s="730">
        <f t="shared" si="7"/>
        <v>246740</v>
      </c>
      <c r="I214" s="361"/>
      <c r="J214" s="361"/>
      <c r="K214" s="361"/>
      <c r="L214" s="361"/>
    </row>
    <row r="215" spans="2:12" ht="15" thickBot="1" x14ac:dyDescent="0.25">
      <c r="B215" s="16"/>
      <c r="C215" s="353" t="s">
        <v>477</v>
      </c>
      <c r="D215" s="355">
        <f t="shared" si="6"/>
        <v>239360</v>
      </c>
      <c r="E215" s="751">
        <v>223000</v>
      </c>
      <c r="F215" s="69"/>
      <c r="G215" s="355">
        <v>233767.04477404416</v>
      </c>
      <c r="H215" s="730">
        <f t="shared" si="7"/>
        <v>239360</v>
      </c>
      <c r="I215" s="361"/>
      <c r="J215" s="361"/>
      <c r="K215" s="361"/>
      <c r="L215" s="361"/>
    </row>
    <row r="216" spans="2:12" ht="15" thickBot="1" x14ac:dyDescent="0.25">
      <c r="B216" s="16"/>
      <c r="C216" s="353" t="s">
        <v>478</v>
      </c>
      <c r="D216" s="355">
        <f t="shared" si="6"/>
        <v>240500</v>
      </c>
      <c r="E216" s="751">
        <v>222000</v>
      </c>
      <c r="F216" s="69"/>
      <c r="G216" s="355">
        <v>234882.48181509555</v>
      </c>
      <c r="H216" s="730">
        <f t="shared" si="7"/>
        <v>240500</v>
      </c>
      <c r="I216" s="361"/>
      <c r="J216" s="361"/>
      <c r="K216" s="361"/>
      <c r="L216" s="361"/>
    </row>
    <row r="217" spans="2:12" ht="15" thickBot="1" x14ac:dyDescent="0.25">
      <c r="B217" s="16"/>
      <c r="C217" s="353" t="s">
        <v>479</v>
      </c>
      <c r="D217" s="355">
        <f t="shared" si="6"/>
        <v>242180</v>
      </c>
      <c r="E217" s="751">
        <v>223000</v>
      </c>
      <c r="F217" s="69"/>
      <c r="G217" s="355">
        <v>236525.18237321405</v>
      </c>
      <c r="H217" s="730">
        <f t="shared" si="7"/>
        <v>242180</v>
      </c>
      <c r="I217" s="361"/>
      <c r="J217" s="361"/>
      <c r="K217" s="361"/>
      <c r="L217" s="361"/>
    </row>
    <row r="218" spans="2:12" ht="15" thickBot="1" x14ac:dyDescent="0.25">
      <c r="B218" s="16"/>
      <c r="C218" s="353" t="s">
        <v>480</v>
      </c>
      <c r="D218" s="355">
        <f t="shared" si="6"/>
        <v>239310</v>
      </c>
      <c r="E218" s="751">
        <v>223000</v>
      </c>
      <c r="F218" s="69"/>
      <c r="G218" s="355">
        <v>233719.02093409945</v>
      </c>
      <c r="H218" s="730">
        <f t="shared" si="7"/>
        <v>239310</v>
      </c>
      <c r="I218" s="361"/>
      <c r="J218" s="361"/>
      <c r="K218" s="361"/>
      <c r="L218" s="361"/>
    </row>
    <row r="219" spans="2:12" ht="15" thickBot="1" x14ac:dyDescent="0.25">
      <c r="B219" s="16"/>
      <c r="C219" s="353" t="s">
        <v>481</v>
      </c>
      <c r="D219" s="355">
        <f t="shared" si="6"/>
        <v>226270</v>
      </c>
      <c r="E219" s="751">
        <v>240000</v>
      </c>
      <c r="F219" s="69"/>
      <c r="G219" s="355">
        <v>220991.51042721496</v>
      </c>
      <c r="H219" s="730">
        <f t="shared" si="7"/>
        <v>226270</v>
      </c>
      <c r="I219" s="361"/>
      <c r="J219" s="361"/>
      <c r="K219" s="361"/>
      <c r="L219" s="361"/>
    </row>
    <row r="220" spans="2:12" ht="15" thickBot="1" x14ac:dyDescent="0.25">
      <c r="B220" s="16"/>
      <c r="C220" s="353" t="s">
        <v>482</v>
      </c>
      <c r="D220" s="355">
        <f t="shared" si="6"/>
        <v>246740</v>
      </c>
      <c r="E220" s="751">
        <v>240000</v>
      </c>
      <c r="F220" s="69"/>
      <c r="G220" s="355">
        <v>240976.741107262</v>
      </c>
      <c r="H220" s="730">
        <f t="shared" si="7"/>
        <v>246740</v>
      </c>
      <c r="I220" s="361"/>
      <c r="J220" s="361"/>
      <c r="K220" s="361"/>
      <c r="L220" s="361"/>
    </row>
    <row r="221" spans="2:12" ht="15" thickBot="1" x14ac:dyDescent="0.25">
      <c r="B221" s="16"/>
      <c r="C221" s="353" t="s">
        <v>483</v>
      </c>
      <c r="D221" s="355">
        <f t="shared" si="6"/>
        <v>248770</v>
      </c>
      <c r="E221" s="751">
        <v>240000</v>
      </c>
      <c r="F221" s="69"/>
      <c r="G221" s="355">
        <v>242963.5259114427</v>
      </c>
      <c r="H221" s="730">
        <f t="shared" si="7"/>
        <v>248770</v>
      </c>
      <c r="I221" s="361"/>
      <c r="J221" s="361"/>
      <c r="K221" s="361"/>
      <c r="L221" s="361"/>
    </row>
    <row r="222" spans="2:12" ht="15" thickBot="1" x14ac:dyDescent="0.25">
      <c r="B222" s="16"/>
      <c r="C222" s="353" t="s">
        <v>484</v>
      </c>
      <c r="D222" s="355">
        <v>248795</v>
      </c>
      <c r="E222" s="751">
        <v>240000</v>
      </c>
      <c r="F222" s="69"/>
      <c r="G222" s="355">
        <v>243770.34904455056</v>
      </c>
      <c r="H222" s="730">
        <f t="shared" si="7"/>
        <v>248795</v>
      </c>
      <c r="I222" s="361"/>
      <c r="J222" s="361"/>
      <c r="K222" s="361"/>
      <c r="L222" s="361"/>
    </row>
    <row r="223" spans="2:12" ht="15" thickBot="1" x14ac:dyDescent="0.25">
      <c r="B223" s="16"/>
      <c r="C223" s="353" t="s">
        <v>485</v>
      </c>
      <c r="D223" s="355">
        <f t="shared" si="6"/>
        <v>245760</v>
      </c>
      <c r="E223" s="751">
        <v>240000</v>
      </c>
      <c r="F223" s="69"/>
      <c r="G223" s="355">
        <v>240026.75238669643</v>
      </c>
      <c r="H223" s="730">
        <f t="shared" si="7"/>
        <v>245760</v>
      </c>
      <c r="I223" s="361"/>
      <c r="J223" s="361"/>
      <c r="K223" s="361"/>
      <c r="L223" s="361"/>
    </row>
    <row r="224" spans="2:12" ht="15" thickBot="1" x14ac:dyDescent="0.25">
      <c r="B224" s="16"/>
      <c r="C224" s="353" t="s">
        <v>486</v>
      </c>
      <c r="D224" s="355">
        <f t="shared" si="6"/>
        <v>247990</v>
      </c>
      <c r="E224" s="751">
        <v>240000</v>
      </c>
      <c r="F224" s="69"/>
      <c r="G224" s="355">
        <v>242202.00065602982</v>
      </c>
      <c r="H224" s="730">
        <f t="shared" si="7"/>
        <v>247990</v>
      </c>
      <c r="I224" s="361"/>
      <c r="J224" s="361"/>
      <c r="K224" s="361"/>
      <c r="L224" s="361"/>
    </row>
    <row r="225" spans="2:12" ht="15" thickBot="1" x14ac:dyDescent="0.25">
      <c r="B225" s="16"/>
      <c r="C225" s="353" t="s">
        <v>487</v>
      </c>
      <c r="D225" s="355">
        <f t="shared" si="6"/>
        <v>242650</v>
      </c>
      <c r="E225" s="751">
        <v>223000</v>
      </c>
      <c r="F225" s="69"/>
      <c r="G225" s="355">
        <v>236986.17733634889</v>
      </c>
      <c r="H225" s="730">
        <f t="shared" si="7"/>
        <v>242650</v>
      </c>
      <c r="I225" s="361"/>
      <c r="J225" s="361"/>
      <c r="K225" s="361"/>
      <c r="L225" s="361"/>
    </row>
    <row r="226" spans="2:12" ht="15" thickBot="1" x14ac:dyDescent="0.25">
      <c r="B226" s="16"/>
      <c r="C226" s="353" t="s">
        <v>488</v>
      </c>
      <c r="D226" s="355">
        <f t="shared" si="6"/>
        <v>241700</v>
      </c>
      <c r="E226" s="751">
        <v>222000</v>
      </c>
      <c r="F226" s="69"/>
      <c r="G226" s="355">
        <v>236054.32248420766</v>
      </c>
      <c r="H226" s="730">
        <f t="shared" si="7"/>
        <v>241700</v>
      </c>
      <c r="I226" s="361"/>
      <c r="J226" s="361"/>
      <c r="K226" s="361"/>
      <c r="L226" s="361"/>
    </row>
    <row r="227" spans="2:12" ht="15" thickBot="1" x14ac:dyDescent="0.25">
      <c r="B227" s="16"/>
      <c r="C227" s="353" t="s">
        <v>489</v>
      </c>
      <c r="D227" s="355">
        <f t="shared" si="6"/>
        <v>243400</v>
      </c>
      <c r="E227" s="751">
        <v>223000</v>
      </c>
      <c r="F227" s="69"/>
      <c r="G227" s="355">
        <v>237713.95116698669</v>
      </c>
      <c r="H227" s="730">
        <f t="shared" si="7"/>
        <v>243400</v>
      </c>
      <c r="I227" s="361"/>
      <c r="J227" s="361"/>
      <c r="K227" s="361"/>
      <c r="L227" s="361"/>
    </row>
    <row r="228" spans="2:12" ht="15" thickBot="1" x14ac:dyDescent="0.25">
      <c r="B228" s="16"/>
      <c r="C228" s="353" t="s">
        <v>490</v>
      </c>
      <c r="D228" s="355">
        <f t="shared" si="6"/>
        <v>242600</v>
      </c>
      <c r="E228" s="751">
        <v>223000</v>
      </c>
      <c r="F228" s="69"/>
      <c r="G228" s="355">
        <v>236937.65708097309</v>
      </c>
      <c r="H228" s="730">
        <f t="shared" si="7"/>
        <v>242600</v>
      </c>
      <c r="I228" s="361"/>
      <c r="J228" s="361"/>
      <c r="K228" s="361"/>
      <c r="L228" s="361"/>
    </row>
    <row r="229" spans="2:12" ht="15" thickBot="1" x14ac:dyDescent="0.25">
      <c r="B229" s="16"/>
      <c r="C229" s="353" t="s">
        <v>491</v>
      </c>
      <c r="D229" s="355">
        <f t="shared" si="6"/>
        <v>227410</v>
      </c>
      <c r="E229" s="751">
        <v>240000</v>
      </c>
      <c r="F229" s="69"/>
      <c r="G229" s="355">
        <v>222101.01850044954</v>
      </c>
      <c r="H229" s="730">
        <f t="shared" si="7"/>
        <v>227410</v>
      </c>
      <c r="I229" s="361"/>
      <c r="J229" s="361"/>
      <c r="K229" s="361"/>
      <c r="L229" s="361"/>
    </row>
    <row r="230" spans="2:12" ht="15" thickBot="1" x14ac:dyDescent="0.25">
      <c r="B230" s="16"/>
      <c r="C230" s="353" t="s">
        <v>492</v>
      </c>
      <c r="D230" s="355">
        <f t="shared" si="6"/>
        <v>247990</v>
      </c>
      <c r="E230" s="751">
        <v>240000</v>
      </c>
      <c r="F230" s="69"/>
      <c r="G230" s="355">
        <v>242202.00065602982</v>
      </c>
      <c r="H230" s="730">
        <f t="shared" si="7"/>
        <v>247990</v>
      </c>
      <c r="I230" s="361"/>
      <c r="J230" s="361"/>
      <c r="K230" s="361"/>
      <c r="L230" s="361"/>
    </row>
    <row r="231" spans="2:12" ht="15" thickBot="1" x14ac:dyDescent="0.25">
      <c r="B231" s="16"/>
      <c r="C231" s="353" t="s">
        <v>493</v>
      </c>
      <c r="D231" s="355">
        <f t="shared" si="6"/>
        <v>247940</v>
      </c>
      <c r="E231" s="751">
        <v>240000</v>
      </c>
      <c r="F231" s="69"/>
      <c r="G231" s="355">
        <v>242150.43142368356</v>
      </c>
      <c r="H231" s="730">
        <f t="shared" si="7"/>
        <v>247940</v>
      </c>
      <c r="I231" s="361"/>
      <c r="J231" s="361"/>
      <c r="K231" s="361"/>
      <c r="L231" s="361"/>
    </row>
    <row r="232" spans="2:12" ht="15" thickBot="1" x14ac:dyDescent="0.25">
      <c r="B232" s="16"/>
      <c r="C232" s="353" t="s">
        <v>494</v>
      </c>
      <c r="D232" s="355">
        <v>248795</v>
      </c>
      <c r="E232" s="751">
        <v>240000</v>
      </c>
      <c r="F232" s="69"/>
      <c r="G232" s="355">
        <v>245388.30914122341</v>
      </c>
      <c r="H232" s="730">
        <f t="shared" si="7"/>
        <v>248795</v>
      </c>
      <c r="I232" s="361"/>
      <c r="J232" s="361"/>
      <c r="K232" s="361"/>
      <c r="L232" s="361"/>
    </row>
    <row r="233" spans="2:12" ht="15" thickBot="1" x14ac:dyDescent="0.25">
      <c r="B233" s="16"/>
      <c r="C233" s="353" t="s">
        <v>495</v>
      </c>
      <c r="D233" s="355">
        <f t="shared" si="6"/>
        <v>247010</v>
      </c>
      <c r="E233" s="751">
        <v>240000</v>
      </c>
      <c r="F233" s="69"/>
      <c r="G233" s="355">
        <v>241242.26524145121</v>
      </c>
      <c r="H233" s="730">
        <f t="shared" si="7"/>
        <v>247010</v>
      </c>
      <c r="I233" s="361"/>
      <c r="J233" s="361"/>
      <c r="K233" s="361"/>
      <c r="L233" s="361"/>
    </row>
    <row r="234" spans="2:12" ht="15" thickBot="1" x14ac:dyDescent="0.25">
      <c r="B234" s="16"/>
      <c r="C234" s="353" t="s">
        <v>496</v>
      </c>
      <c r="D234" s="355">
        <f t="shared" si="6"/>
        <v>247990</v>
      </c>
      <c r="E234" s="751">
        <v>240000</v>
      </c>
      <c r="F234" s="69"/>
      <c r="G234" s="355">
        <v>242202.00065602982</v>
      </c>
      <c r="H234" s="730">
        <f t="shared" si="7"/>
        <v>247990</v>
      </c>
      <c r="I234" s="361"/>
      <c r="J234" s="361"/>
      <c r="K234" s="361"/>
      <c r="L234" s="361"/>
    </row>
    <row r="235" spans="2:12" ht="15" thickBot="1" x14ac:dyDescent="0.25">
      <c r="B235" s="16"/>
      <c r="C235" s="353" t="s">
        <v>497</v>
      </c>
      <c r="D235" s="355">
        <f t="shared" si="6"/>
        <v>242650</v>
      </c>
      <c r="E235" s="751">
        <v>223000</v>
      </c>
      <c r="F235" s="69"/>
      <c r="G235" s="355">
        <v>236986.17733634889</v>
      </c>
      <c r="H235" s="730">
        <f t="shared" si="7"/>
        <v>242650</v>
      </c>
      <c r="I235" s="361"/>
      <c r="J235" s="361"/>
      <c r="K235" s="361"/>
      <c r="L235" s="361"/>
    </row>
    <row r="236" spans="2:12" ht="15" thickBot="1" x14ac:dyDescent="0.25">
      <c r="B236" s="16"/>
      <c r="C236" s="353" t="s">
        <v>498</v>
      </c>
      <c r="D236" s="355">
        <f t="shared" si="6"/>
        <v>241700</v>
      </c>
      <c r="E236" s="751">
        <v>222000</v>
      </c>
      <c r="F236" s="69"/>
      <c r="G236" s="355">
        <v>236054.32248420766</v>
      </c>
      <c r="H236" s="730">
        <f t="shared" si="7"/>
        <v>241700</v>
      </c>
      <c r="I236" s="361"/>
      <c r="J236" s="361"/>
      <c r="K236" s="361"/>
      <c r="L236" s="361"/>
    </row>
    <row r="237" spans="2:12" ht="15" thickBot="1" x14ac:dyDescent="0.25">
      <c r="B237" s="16"/>
      <c r="C237" s="353" t="s">
        <v>499</v>
      </c>
      <c r="D237" s="355">
        <f t="shared" si="6"/>
        <v>243400</v>
      </c>
      <c r="E237" s="751">
        <v>223000</v>
      </c>
      <c r="F237" s="69"/>
      <c r="G237" s="355">
        <v>237713.94116698668</v>
      </c>
      <c r="H237" s="730">
        <f t="shared" si="7"/>
        <v>243400</v>
      </c>
      <c r="I237" s="361"/>
      <c r="J237" s="361"/>
      <c r="K237" s="361"/>
      <c r="L237" s="361"/>
    </row>
    <row r="238" spans="2:12" ht="15" thickBot="1" x14ac:dyDescent="0.25">
      <c r="B238" s="16"/>
      <c r="C238" s="353" t="s">
        <v>500</v>
      </c>
      <c r="D238" s="355">
        <f t="shared" si="6"/>
        <v>242600</v>
      </c>
      <c r="E238" s="751">
        <v>223000</v>
      </c>
      <c r="F238" s="69"/>
      <c r="G238" s="355">
        <v>236937.65708097309</v>
      </c>
      <c r="H238" s="730">
        <f t="shared" si="7"/>
        <v>242600</v>
      </c>
      <c r="I238" s="361"/>
      <c r="J238" s="361"/>
      <c r="K238" s="361"/>
      <c r="L238" s="361"/>
    </row>
    <row r="239" spans="2:12" ht="15" thickBot="1" x14ac:dyDescent="0.25">
      <c r="B239" s="16"/>
      <c r="C239" s="353" t="s">
        <v>501</v>
      </c>
      <c r="D239" s="355">
        <f t="shared" si="6"/>
        <v>227410</v>
      </c>
      <c r="E239" s="751">
        <v>240000</v>
      </c>
      <c r="F239" s="69"/>
      <c r="G239" s="355">
        <v>222101.01850044954</v>
      </c>
      <c r="H239" s="730">
        <f t="shared" si="7"/>
        <v>227410</v>
      </c>
      <c r="I239" s="361"/>
      <c r="J239" s="361"/>
      <c r="K239" s="361"/>
      <c r="L239" s="361"/>
    </row>
    <row r="240" spans="2:12" ht="15" thickBot="1" x14ac:dyDescent="0.25">
      <c r="B240" s="16"/>
      <c r="C240" s="353" t="s">
        <v>502</v>
      </c>
      <c r="D240" s="355">
        <v>248795</v>
      </c>
      <c r="E240" s="751">
        <v>240000</v>
      </c>
      <c r="F240" s="69"/>
      <c r="G240" s="355">
        <v>244239.83065602981</v>
      </c>
      <c r="H240" s="730">
        <f t="shared" si="7"/>
        <v>248795</v>
      </c>
      <c r="I240" s="361"/>
      <c r="J240" s="361"/>
      <c r="K240" s="361"/>
      <c r="L240" s="361"/>
    </row>
    <row r="241" spans="2:12" ht="15" thickBot="1" x14ac:dyDescent="0.25">
      <c r="B241" s="16"/>
      <c r="C241" s="353" t="s">
        <v>503</v>
      </c>
      <c r="D241" s="355">
        <f t="shared" si="6"/>
        <v>247940</v>
      </c>
      <c r="E241" s="751">
        <v>240000</v>
      </c>
      <c r="F241" s="69"/>
      <c r="G241" s="355">
        <v>242150.43142368356</v>
      </c>
      <c r="H241" s="730">
        <f t="shared" si="7"/>
        <v>247940</v>
      </c>
      <c r="I241" s="361"/>
      <c r="J241" s="361"/>
      <c r="K241" s="361"/>
      <c r="L241" s="361"/>
    </row>
    <row r="242" spans="2:12" ht="15" thickBot="1" x14ac:dyDescent="0.25">
      <c r="B242" s="16"/>
      <c r="C242" s="353" t="s">
        <v>504</v>
      </c>
      <c r="D242" s="355">
        <v>248795</v>
      </c>
      <c r="E242" s="751">
        <v>240000</v>
      </c>
      <c r="F242" s="69"/>
      <c r="G242" s="355">
        <v>243350.47914122342</v>
      </c>
      <c r="H242" s="730">
        <f t="shared" si="7"/>
        <v>248795</v>
      </c>
      <c r="I242" s="361"/>
      <c r="J242" s="361"/>
      <c r="K242" s="361"/>
      <c r="L242" s="361"/>
    </row>
    <row r="243" spans="2:12" ht="15" thickBot="1" x14ac:dyDescent="0.25">
      <c r="B243" s="16"/>
      <c r="C243" s="353" t="s">
        <v>505</v>
      </c>
      <c r="D243" s="355">
        <v>248795</v>
      </c>
      <c r="E243" s="751">
        <v>240000</v>
      </c>
      <c r="F243" s="69"/>
      <c r="G243" s="355">
        <v>243280.09524145123</v>
      </c>
      <c r="H243" s="730">
        <f t="shared" si="7"/>
        <v>248795</v>
      </c>
      <c r="I243" s="361"/>
      <c r="J243" s="361"/>
      <c r="K243" s="361"/>
      <c r="L243" s="361"/>
    </row>
    <row r="244" spans="2:12" ht="15" thickBot="1" x14ac:dyDescent="0.25">
      <c r="B244" s="16"/>
      <c r="C244" s="353" t="s">
        <v>506</v>
      </c>
      <c r="D244" s="355">
        <v>248795</v>
      </c>
      <c r="E244" s="751">
        <v>240000</v>
      </c>
      <c r="F244" s="69"/>
      <c r="G244" s="355">
        <v>246330.09020479766</v>
      </c>
      <c r="H244" s="730">
        <f t="shared" si="7"/>
        <v>248795</v>
      </c>
      <c r="I244" s="361"/>
      <c r="J244" s="361"/>
      <c r="K244" s="361"/>
      <c r="L244" s="361"/>
    </row>
    <row r="245" spans="2:12" ht="15" thickBot="1" x14ac:dyDescent="0.25">
      <c r="B245" s="16"/>
      <c r="C245" s="353" t="s">
        <v>507</v>
      </c>
      <c r="D245" s="355">
        <f t="shared" si="6"/>
        <v>241770</v>
      </c>
      <c r="E245" s="751">
        <v>223000</v>
      </c>
      <c r="F245" s="69"/>
      <c r="G245" s="355">
        <v>236129.6498986537</v>
      </c>
      <c r="H245" s="730">
        <f t="shared" si="7"/>
        <v>241770</v>
      </c>
      <c r="I245" s="361"/>
      <c r="J245" s="361"/>
      <c r="K245" s="361"/>
      <c r="L245" s="361"/>
    </row>
    <row r="246" spans="2:12" ht="15" thickBot="1" x14ac:dyDescent="0.25">
      <c r="B246" s="16"/>
      <c r="C246" s="353" t="s">
        <v>508</v>
      </c>
      <c r="D246" s="355">
        <f t="shared" si="6"/>
        <v>242910</v>
      </c>
      <c r="E246" s="751">
        <v>222000</v>
      </c>
      <c r="F246" s="69"/>
      <c r="G246" s="355">
        <v>237236.18315331987</v>
      </c>
      <c r="H246" s="730">
        <f t="shared" si="7"/>
        <v>242910</v>
      </c>
      <c r="I246" s="361"/>
      <c r="J246" s="361"/>
      <c r="K246" s="361"/>
      <c r="L246" s="361"/>
    </row>
    <row r="247" spans="2:12" ht="15" thickBot="1" x14ac:dyDescent="0.25">
      <c r="B247" s="16"/>
      <c r="C247" s="353" t="s">
        <v>509</v>
      </c>
      <c r="D247" s="355">
        <f t="shared" si="6"/>
        <v>244610</v>
      </c>
      <c r="E247" s="751">
        <v>223000</v>
      </c>
      <c r="F247" s="69"/>
      <c r="G247" s="355">
        <v>238902.70996075936</v>
      </c>
      <c r="H247" s="730">
        <f t="shared" si="7"/>
        <v>244610</v>
      </c>
      <c r="I247" s="361"/>
      <c r="J247" s="361"/>
      <c r="K247" s="361"/>
      <c r="L247" s="361"/>
    </row>
    <row r="248" spans="2:12" ht="15" thickBot="1" x14ac:dyDescent="0.25">
      <c r="B248" s="16"/>
      <c r="C248" s="353" t="s">
        <v>510</v>
      </c>
      <c r="D248" s="355">
        <f t="shared" si="6"/>
        <v>243810</v>
      </c>
      <c r="E248" s="751">
        <v>223000</v>
      </c>
      <c r="F248" s="69"/>
      <c r="G248" s="355">
        <v>238118.46322784666</v>
      </c>
      <c r="H248" s="730">
        <f t="shared" si="7"/>
        <v>243810</v>
      </c>
      <c r="I248" s="361"/>
      <c r="J248" s="361"/>
      <c r="K248" s="361"/>
      <c r="L248" s="361"/>
    </row>
    <row r="249" spans="2:12" ht="15" thickBot="1" x14ac:dyDescent="0.25">
      <c r="B249" s="16"/>
      <c r="C249" s="353" t="s">
        <v>511</v>
      </c>
      <c r="D249" s="355">
        <f t="shared" si="6"/>
        <v>228550</v>
      </c>
      <c r="E249" s="751">
        <v>240000</v>
      </c>
      <c r="F249" s="69"/>
      <c r="G249" s="355">
        <v>223210.53657368413</v>
      </c>
      <c r="H249" s="730">
        <f t="shared" si="7"/>
        <v>228550</v>
      </c>
      <c r="I249" s="361"/>
      <c r="J249" s="361"/>
      <c r="K249" s="361"/>
      <c r="L249" s="361"/>
    </row>
    <row r="250" spans="2:12" ht="15" thickBot="1" x14ac:dyDescent="0.25">
      <c r="B250" s="16"/>
      <c r="C250" s="353" t="s">
        <v>512</v>
      </c>
      <c r="D250" s="355">
        <v>248795</v>
      </c>
      <c r="E250" s="751">
        <v>240000</v>
      </c>
      <c r="F250" s="69"/>
      <c r="G250" s="355">
        <v>246330.09020479766</v>
      </c>
      <c r="H250" s="730">
        <f t="shared" si="7"/>
        <v>248795</v>
      </c>
      <c r="I250" s="361"/>
      <c r="J250" s="361"/>
      <c r="K250" s="361"/>
      <c r="L250" s="361"/>
    </row>
    <row r="251" spans="2:12" ht="15" thickBot="1" x14ac:dyDescent="0.25">
      <c r="B251" s="16"/>
      <c r="C251" s="353" t="s">
        <v>513</v>
      </c>
      <c r="D251" s="355">
        <v>248795</v>
      </c>
      <c r="E251" s="751">
        <v>240000</v>
      </c>
      <c r="F251" s="69"/>
      <c r="G251" s="355">
        <v>244190.19693592435</v>
      </c>
      <c r="H251" s="730">
        <f t="shared" si="7"/>
        <v>248795</v>
      </c>
      <c r="I251" s="361"/>
      <c r="J251" s="361"/>
      <c r="K251" s="361"/>
      <c r="L251" s="361"/>
    </row>
    <row r="252" spans="2:12" ht="15" thickBot="1" x14ac:dyDescent="0.25">
      <c r="B252" s="16"/>
      <c r="C252" s="353" t="s">
        <v>514</v>
      </c>
      <c r="D252" s="355">
        <v>248795</v>
      </c>
      <c r="E252" s="751">
        <v>240000</v>
      </c>
      <c r="F252" s="69"/>
      <c r="G252" s="355">
        <v>247861.26923789625</v>
      </c>
      <c r="H252" s="730">
        <f t="shared" si="7"/>
        <v>248795</v>
      </c>
      <c r="I252" s="361"/>
      <c r="J252" s="361"/>
      <c r="K252" s="361"/>
      <c r="L252" s="361"/>
    </row>
    <row r="253" spans="2:12" ht="15" thickBot="1" x14ac:dyDescent="0.25">
      <c r="B253" s="16"/>
      <c r="C253" s="353" t="s">
        <v>515</v>
      </c>
      <c r="D253" s="355">
        <v>248795</v>
      </c>
      <c r="E253" s="751">
        <v>240000</v>
      </c>
      <c r="F253" s="69"/>
      <c r="G253" s="355">
        <v>244495.60809620604</v>
      </c>
      <c r="H253" s="730">
        <f t="shared" si="7"/>
        <v>248795</v>
      </c>
      <c r="I253" s="361"/>
      <c r="J253" s="361"/>
      <c r="K253" s="361"/>
      <c r="L253" s="361"/>
    </row>
    <row r="254" spans="2:12" ht="15" thickBot="1" x14ac:dyDescent="0.25">
      <c r="B254" s="16"/>
      <c r="C254" s="353" t="s">
        <v>516</v>
      </c>
      <c r="D254" s="355">
        <v>248795</v>
      </c>
      <c r="E254" s="751">
        <v>240000</v>
      </c>
      <c r="F254" s="69"/>
      <c r="G254" s="355">
        <v>246330.09020479766</v>
      </c>
      <c r="H254" s="730">
        <f t="shared" si="7"/>
        <v>248795</v>
      </c>
      <c r="I254" s="361"/>
      <c r="J254" s="361"/>
      <c r="K254" s="361"/>
      <c r="L254" s="361"/>
    </row>
    <row r="255" spans="2:12" ht="15" thickBot="1" x14ac:dyDescent="0.25">
      <c r="B255" s="16"/>
      <c r="C255" s="353" t="s">
        <v>517</v>
      </c>
      <c r="D255" s="355">
        <f t="shared" si="6"/>
        <v>243860</v>
      </c>
      <c r="E255" s="751">
        <v>223000</v>
      </c>
      <c r="F255" s="69"/>
      <c r="G255" s="355">
        <v>238167.47989865369</v>
      </c>
      <c r="H255" s="730">
        <f t="shared" si="7"/>
        <v>243860</v>
      </c>
      <c r="I255" s="361"/>
      <c r="J255" s="361"/>
      <c r="K255" s="361"/>
      <c r="L255" s="361"/>
    </row>
    <row r="256" spans="2:12" ht="15" thickBot="1" x14ac:dyDescent="0.25">
      <c r="B256" s="16"/>
      <c r="C256" s="353" t="s">
        <v>518</v>
      </c>
      <c r="D256" s="355">
        <f t="shared" si="6"/>
        <v>242910</v>
      </c>
      <c r="E256" s="751">
        <v>222000</v>
      </c>
      <c r="F256" s="69"/>
      <c r="G256" s="355">
        <v>237236.18315331987</v>
      </c>
      <c r="H256" s="730">
        <f t="shared" si="7"/>
        <v>242910</v>
      </c>
      <c r="I256" s="361"/>
      <c r="J256" s="361"/>
      <c r="K256" s="361"/>
      <c r="L256" s="361"/>
    </row>
    <row r="257" spans="2:12" ht="15" thickBot="1" x14ac:dyDescent="0.25">
      <c r="B257" s="16"/>
      <c r="C257" s="353" t="s">
        <v>519</v>
      </c>
      <c r="D257" s="355">
        <f t="shared" si="6"/>
        <v>244610</v>
      </c>
      <c r="E257" s="751">
        <v>223000</v>
      </c>
      <c r="F257" s="69"/>
      <c r="G257" s="355">
        <v>238902.70996075936</v>
      </c>
      <c r="H257" s="730">
        <f t="shared" si="7"/>
        <v>244610</v>
      </c>
      <c r="I257" s="361"/>
      <c r="J257" s="361"/>
      <c r="K257" s="361"/>
      <c r="L257" s="361"/>
    </row>
    <row r="258" spans="2:12" ht="15" thickBot="1" x14ac:dyDescent="0.25">
      <c r="B258" s="16"/>
      <c r="C258" s="353" t="s">
        <v>520</v>
      </c>
      <c r="D258" s="355">
        <f t="shared" si="6"/>
        <v>243810</v>
      </c>
      <c r="E258" s="751">
        <v>223000</v>
      </c>
      <c r="F258" s="69"/>
      <c r="G258" s="355">
        <v>238118.46322784666</v>
      </c>
      <c r="H258" s="730">
        <f t="shared" si="7"/>
        <v>243810</v>
      </c>
      <c r="I258" s="361"/>
      <c r="J258" s="361"/>
      <c r="K258" s="361"/>
      <c r="L258" s="361"/>
    </row>
    <row r="259" spans="2:12" ht="15" thickBot="1" x14ac:dyDescent="0.25">
      <c r="B259" s="16"/>
      <c r="C259" s="353" t="s">
        <v>521</v>
      </c>
      <c r="D259" s="355">
        <f t="shared" si="6"/>
        <v>228550</v>
      </c>
      <c r="E259" s="751">
        <v>240000</v>
      </c>
      <c r="F259" s="69"/>
      <c r="G259" s="355">
        <v>223210.53657368413</v>
      </c>
      <c r="H259" s="730">
        <f t="shared" si="7"/>
        <v>228550</v>
      </c>
      <c r="I259" s="361"/>
      <c r="J259" s="361"/>
      <c r="K259" s="361"/>
      <c r="L259" s="361"/>
    </row>
    <row r="260" spans="2:12" ht="15" thickBot="1" x14ac:dyDescent="0.25">
      <c r="B260" s="16"/>
      <c r="C260" s="353" t="s">
        <v>522</v>
      </c>
      <c r="D260" s="355">
        <v>248795</v>
      </c>
      <c r="E260" s="751">
        <v>240000</v>
      </c>
      <c r="F260" s="69"/>
      <c r="G260" s="355">
        <v>244292.26020479767</v>
      </c>
      <c r="H260" s="730">
        <f t="shared" si="7"/>
        <v>248795</v>
      </c>
      <c r="I260" s="361"/>
      <c r="J260" s="361"/>
      <c r="K260" s="361"/>
      <c r="L260" s="361"/>
    </row>
    <row r="261" spans="2:12" ht="15" thickBot="1" x14ac:dyDescent="0.25">
      <c r="B261" s="16"/>
      <c r="C261" s="353" t="s">
        <v>523</v>
      </c>
      <c r="D261" s="355">
        <v>248795</v>
      </c>
      <c r="E261" s="751">
        <v>240000</v>
      </c>
      <c r="F261" s="69"/>
      <c r="G261" s="355">
        <v>246228.02693592437</v>
      </c>
      <c r="H261" s="730">
        <f t="shared" si="7"/>
        <v>248795</v>
      </c>
      <c r="I261" s="361"/>
      <c r="J261" s="361"/>
      <c r="K261" s="361"/>
      <c r="L261" s="361"/>
    </row>
    <row r="262" spans="2:12" ht="15" thickBot="1" x14ac:dyDescent="0.25">
      <c r="B262" s="16"/>
      <c r="C262" s="353" t="s">
        <v>524</v>
      </c>
      <c r="D262" s="355">
        <v>248795</v>
      </c>
      <c r="E262" s="751">
        <v>240000</v>
      </c>
      <c r="F262" s="69"/>
      <c r="G262" s="355">
        <v>245823.43923789627</v>
      </c>
      <c r="H262" s="730">
        <f t="shared" si="7"/>
        <v>248795</v>
      </c>
      <c r="I262" s="361"/>
      <c r="J262" s="361"/>
      <c r="K262" s="361"/>
      <c r="L262" s="361"/>
    </row>
    <row r="263" spans="2:12" ht="15" thickBot="1" x14ac:dyDescent="0.25">
      <c r="B263" s="16"/>
      <c r="C263" s="353" t="s">
        <v>525</v>
      </c>
      <c r="D263" s="355">
        <v>248795</v>
      </c>
      <c r="E263" s="751">
        <v>240000</v>
      </c>
      <c r="F263" s="69"/>
      <c r="G263" s="355">
        <v>244495.60809620604</v>
      </c>
      <c r="H263" s="730">
        <f t="shared" si="7"/>
        <v>248795</v>
      </c>
      <c r="I263" s="361"/>
      <c r="J263" s="361"/>
      <c r="K263" s="361"/>
      <c r="L263" s="361"/>
    </row>
    <row r="264" spans="2:12" ht="15" thickBot="1" x14ac:dyDescent="0.25">
      <c r="B264" s="16"/>
      <c r="C264" s="353" t="s">
        <v>526</v>
      </c>
      <c r="D264" s="355">
        <v>248795</v>
      </c>
      <c r="E264" s="751">
        <v>240000</v>
      </c>
      <c r="F264" s="69"/>
      <c r="G264" s="355">
        <v>248795.34975356548</v>
      </c>
      <c r="H264" s="730">
        <f t="shared" si="7"/>
        <v>248795</v>
      </c>
      <c r="I264" s="361"/>
      <c r="J264" s="361"/>
      <c r="K264" s="361"/>
      <c r="L264" s="361"/>
    </row>
    <row r="265" spans="2:12" ht="15" thickBot="1" x14ac:dyDescent="0.25">
      <c r="B265" s="16"/>
      <c r="C265" s="353" t="s">
        <v>527</v>
      </c>
      <c r="D265" s="355">
        <f t="shared" ref="D265:D328" si="8">ROUND((G265*$J$1),-1)</f>
        <v>245080</v>
      </c>
      <c r="E265" s="751">
        <v>223000</v>
      </c>
      <c r="F265" s="69"/>
      <c r="G265" s="355">
        <v>239358.77246095851</v>
      </c>
      <c r="H265" s="730">
        <f t="shared" si="7"/>
        <v>245080</v>
      </c>
      <c r="I265" s="361"/>
      <c r="J265" s="361"/>
      <c r="K265" s="361"/>
      <c r="L265" s="361"/>
    </row>
    <row r="266" spans="2:12" ht="15" thickBot="1" x14ac:dyDescent="0.25">
      <c r="B266" s="16"/>
      <c r="C266" s="353" t="s">
        <v>528</v>
      </c>
      <c r="D266" s="355">
        <f t="shared" si="8"/>
        <v>244120</v>
      </c>
      <c r="E266" s="751">
        <v>222000</v>
      </c>
      <c r="F266" s="69"/>
      <c r="G266" s="355">
        <v>238418.03382243201</v>
      </c>
      <c r="H266" s="730">
        <f t="shared" ref="H266:H329" si="9">D266</f>
        <v>244120</v>
      </c>
      <c r="I266" s="361"/>
      <c r="J266" s="361"/>
      <c r="K266" s="361"/>
      <c r="L266" s="361"/>
    </row>
    <row r="267" spans="2:12" ht="15" thickBot="1" x14ac:dyDescent="0.25">
      <c r="B267" s="16"/>
      <c r="C267" s="353" t="s">
        <v>529</v>
      </c>
      <c r="D267" s="355">
        <f t="shared" si="8"/>
        <v>245830</v>
      </c>
      <c r="E267" s="751">
        <v>223000</v>
      </c>
      <c r="F267" s="69"/>
      <c r="G267" s="355">
        <v>240091.48875453204</v>
      </c>
      <c r="H267" s="730">
        <f t="shared" si="9"/>
        <v>245830</v>
      </c>
      <c r="I267" s="361"/>
      <c r="J267" s="361"/>
      <c r="K267" s="361"/>
      <c r="L267" s="361"/>
    </row>
    <row r="268" spans="2:12" ht="15" thickBot="1" x14ac:dyDescent="0.25">
      <c r="B268" s="16"/>
      <c r="C268" s="353" t="s">
        <v>530</v>
      </c>
      <c r="D268" s="355">
        <f t="shared" si="8"/>
        <v>245030</v>
      </c>
      <c r="E268" s="751">
        <v>223000</v>
      </c>
      <c r="F268" s="69"/>
      <c r="G268" s="355">
        <v>239309.26937472029</v>
      </c>
      <c r="H268" s="730">
        <f t="shared" si="9"/>
        <v>245030</v>
      </c>
      <c r="I268" s="361"/>
      <c r="J268" s="361"/>
      <c r="K268" s="361"/>
      <c r="L268" s="361"/>
    </row>
    <row r="269" spans="2:12" ht="15" thickBot="1" x14ac:dyDescent="0.25">
      <c r="B269" s="16"/>
      <c r="C269" s="353" t="s">
        <v>531</v>
      </c>
      <c r="D269" s="355">
        <f t="shared" si="8"/>
        <v>229680</v>
      </c>
      <c r="E269" s="751">
        <v>240000</v>
      </c>
      <c r="F269" s="69"/>
      <c r="G269" s="355">
        <v>224320.04464691874</v>
      </c>
      <c r="H269" s="730">
        <f t="shared" si="9"/>
        <v>229680</v>
      </c>
      <c r="I269" s="361"/>
      <c r="J269" s="361"/>
      <c r="K269" s="361"/>
      <c r="L269" s="361"/>
    </row>
    <row r="270" spans="2:12" ht="15" thickBot="1" x14ac:dyDescent="0.25">
      <c r="B270" s="16"/>
      <c r="C270" s="353" t="s">
        <v>532</v>
      </c>
      <c r="D270" s="355">
        <v>248795</v>
      </c>
      <c r="E270" s="751">
        <v>240000</v>
      </c>
      <c r="F270" s="69"/>
      <c r="G270" s="355">
        <v>248795.34975356548</v>
      </c>
      <c r="H270" s="730">
        <f t="shared" si="9"/>
        <v>248795</v>
      </c>
      <c r="I270" s="361"/>
      <c r="J270" s="361"/>
      <c r="K270" s="361"/>
      <c r="L270" s="361"/>
    </row>
    <row r="271" spans="2:12" ht="15" thickBot="1" x14ac:dyDescent="0.25">
      <c r="B271" s="16"/>
      <c r="C271" s="353" t="s">
        <v>533</v>
      </c>
      <c r="D271" s="355">
        <v>248795</v>
      </c>
      <c r="E271" s="751">
        <v>240000</v>
      </c>
      <c r="F271" s="69"/>
      <c r="G271" s="355">
        <v>246654.9324481652</v>
      </c>
      <c r="H271" s="730">
        <f t="shared" si="9"/>
        <v>248795</v>
      </c>
      <c r="I271" s="361"/>
      <c r="J271" s="361"/>
      <c r="K271" s="361"/>
      <c r="L271" s="361"/>
    </row>
    <row r="272" spans="2:12" ht="15" thickBot="1" x14ac:dyDescent="0.25">
      <c r="B272" s="16"/>
      <c r="C272" s="353" t="s">
        <v>534</v>
      </c>
      <c r="D272" s="355">
        <v>248795</v>
      </c>
      <c r="E272" s="751">
        <v>240000</v>
      </c>
      <c r="F272" s="69"/>
      <c r="G272" s="355">
        <v>250334.21933456912</v>
      </c>
      <c r="H272" s="730">
        <f t="shared" si="9"/>
        <v>248795</v>
      </c>
      <c r="I272" s="361"/>
      <c r="J272" s="361"/>
      <c r="K272" s="361"/>
      <c r="L272" s="361"/>
    </row>
    <row r="273" spans="2:12" ht="15" thickBot="1" x14ac:dyDescent="0.25">
      <c r="B273" s="16"/>
      <c r="C273" s="353" t="s">
        <v>535</v>
      </c>
      <c r="D273" s="355">
        <v>248795</v>
      </c>
      <c r="E273" s="751">
        <v>240000</v>
      </c>
      <c r="F273" s="69"/>
      <c r="G273" s="355">
        <v>244808.30095096087</v>
      </c>
      <c r="H273" s="730">
        <f t="shared" si="9"/>
        <v>248795</v>
      </c>
      <c r="I273" s="361"/>
      <c r="J273" s="361"/>
      <c r="K273" s="361"/>
      <c r="L273" s="361"/>
    </row>
    <row r="274" spans="2:12" ht="15" thickBot="1" x14ac:dyDescent="0.25">
      <c r="B274" s="16"/>
      <c r="C274" s="353" t="s">
        <v>536</v>
      </c>
      <c r="D274" s="355">
        <v>248795</v>
      </c>
      <c r="E274" s="751">
        <v>240000</v>
      </c>
      <c r="F274" s="69"/>
      <c r="G274" s="355">
        <v>248795.34975356548</v>
      </c>
      <c r="H274" s="730">
        <f t="shared" si="9"/>
        <v>248795</v>
      </c>
      <c r="I274" s="361"/>
      <c r="J274" s="361"/>
      <c r="K274" s="361"/>
      <c r="L274" s="361"/>
    </row>
    <row r="275" spans="2:12" ht="15" thickBot="1" x14ac:dyDescent="0.25">
      <c r="B275" s="16"/>
      <c r="C275" s="353" t="s">
        <v>537</v>
      </c>
      <c r="D275" s="355">
        <f t="shared" si="8"/>
        <v>245080</v>
      </c>
      <c r="E275" s="751">
        <v>223000</v>
      </c>
      <c r="F275" s="69"/>
      <c r="G275" s="355">
        <v>239358.77246095851</v>
      </c>
      <c r="H275" s="730">
        <f t="shared" si="9"/>
        <v>245080</v>
      </c>
      <c r="I275" s="361"/>
      <c r="J275" s="361"/>
      <c r="K275" s="361"/>
      <c r="L275" s="361"/>
    </row>
    <row r="276" spans="2:12" ht="15" thickBot="1" x14ac:dyDescent="0.25">
      <c r="B276" s="16"/>
      <c r="C276" s="353" t="s">
        <v>538</v>
      </c>
      <c r="D276" s="355">
        <f t="shared" si="8"/>
        <v>244120</v>
      </c>
      <c r="E276" s="751">
        <v>222000</v>
      </c>
      <c r="F276" s="69"/>
      <c r="G276" s="355">
        <v>238418.03382243201</v>
      </c>
      <c r="H276" s="730">
        <f t="shared" si="9"/>
        <v>244120</v>
      </c>
      <c r="I276" s="361"/>
      <c r="J276" s="361"/>
      <c r="K276" s="361"/>
      <c r="L276" s="361"/>
    </row>
    <row r="277" spans="2:12" ht="15" thickBot="1" x14ac:dyDescent="0.25">
      <c r="B277" s="16"/>
      <c r="C277" s="353" t="s">
        <v>539</v>
      </c>
      <c r="D277" s="355">
        <f t="shared" si="8"/>
        <v>245830</v>
      </c>
      <c r="E277" s="751">
        <v>223000</v>
      </c>
      <c r="F277" s="69"/>
      <c r="G277" s="355">
        <v>240091.48875453204</v>
      </c>
      <c r="H277" s="730">
        <f t="shared" si="9"/>
        <v>245830</v>
      </c>
      <c r="I277" s="361"/>
      <c r="J277" s="361"/>
      <c r="K277" s="361"/>
      <c r="L277" s="361"/>
    </row>
    <row r="278" spans="2:12" ht="15" thickBot="1" x14ac:dyDescent="0.25">
      <c r="B278" s="16"/>
      <c r="C278" s="353" t="s">
        <v>540</v>
      </c>
      <c r="D278" s="355">
        <f t="shared" si="8"/>
        <v>245030</v>
      </c>
      <c r="E278" s="751">
        <v>223000</v>
      </c>
      <c r="F278" s="69"/>
      <c r="G278" s="355">
        <v>239309.26937472029</v>
      </c>
      <c r="H278" s="730">
        <f t="shared" si="9"/>
        <v>245030</v>
      </c>
      <c r="I278" s="361"/>
      <c r="J278" s="361"/>
      <c r="K278" s="361"/>
      <c r="L278" s="361"/>
    </row>
    <row r="279" spans="2:12" ht="15" thickBot="1" x14ac:dyDescent="0.25">
      <c r="B279" s="16"/>
      <c r="C279" s="353" t="s">
        <v>541</v>
      </c>
      <c r="D279" s="355">
        <f t="shared" si="8"/>
        <v>229680</v>
      </c>
      <c r="E279" s="751">
        <v>240000</v>
      </c>
      <c r="F279" s="69"/>
      <c r="G279" s="355">
        <v>224320.04464691874</v>
      </c>
      <c r="H279" s="730">
        <f t="shared" si="9"/>
        <v>229680</v>
      </c>
      <c r="I279" s="361"/>
      <c r="J279" s="361"/>
      <c r="K279" s="361"/>
      <c r="L279" s="361"/>
    </row>
    <row r="280" spans="2:12" ht="15" thickBot="1" x14ac:dyDescent="0.25">
      <c r="B280" s="16"/>
      <c r="C280" s="353" t="s">
        <v>542</v>
      </c>
      <c r="D280" s="355">
        <v>248795</v>
      </c>
      <c r="E280" s="751">
        <v>240000</v>
      </c>
      <c r="F280" s="69"/>
      <c r="G280" s="355">
        <v>248795.34975356548</v>
      </c>
      <c r="H280" s="730">
        <f t="shared" si="9"/>
        <v>248795</v>
      </c>
      <c r="I280" s="361"/>
      <c r="J280" s="361"/>
      <c r="K280" s="361"/>
      <c r="L280" s="361"/>
    </row>
    <row r="281" spans="2:12" ht="15" thickBot="1" x14ac:dyDescent="0.25">
      <c r="B281" s="16"/>
      <c r="C281" s="353" t="s">
        <v>543</v>
      </c>
      <c r="D281" s="355">
        <v>248795</v>
      </c>
      <c r="E281" s="751">
        <v>240000</v>
      </c>
      <c r="F281" s="69"/>
      <c r="G281" s="355">
        <v>246629.10244816521</v>
      </c>
      <c r="H281" s="730">
        <f t="shared" si="9"/>
        <v>248795</v>
      </c>
      <c r="I281" s="361"/>
      <c r="J281" s="361"/>
      <c r="K281" s="361"/>
      <c r="L281" s="361"/>
    </row>
    <row r="282" spans="2:12" ht="15" thickBot="1" x14ac:dyDescent="0.25">
      <c r="B282" s="16"/>
      <c r="C282" s="353" t="s">
        <v>544</v>
      </c>
      <c r="D282" s="355">
        <v>248795</v>
      </c>
      <c r="E282" s="751">
        <v>240000</v>
      </c>
      <c r="F282" s="69"/>
      <c r="G282" s="355">
        <v>248296.3893345691</v>
      </c>
      <c r="H282" s="730">
        <f t="shared" si="9"/>
        <v>248795</v>
      </c>
      <c r="I282" s="361"/>
      <c r="J282" s="361"/>
      <c r="K282" s="361"/>
      <c r="L282" s="361"/>
    </row>
    <row r="283" spans="2:12" ht="15" thickBot="1" x14ac:dyDescent="0.25">
      <c r="B283" s="16"/>
      <c r="C283" s="353" t="s">
        <v>545</v>
      </c>
      <c r="D283" s="355">
        <v>248795</v>
      </c>
      <c r="E283" s="751">
        <v>240000</v>
      </c>
      <c r="F283" s="69"/>
      <c r="G283" s="355">
        <v>244808.30095096087</v>
      </c>
      <c r="H283" s="730">
        <f t="shared" si="9"/>
        <v>248795</v>
      </c>
      <c r="I283" s="361"/>
      <c r="J283" s="361"/>
      <c r="K283" s="361"/>
      <c r="L283" s="361"/>
    </row>
    <row r="284" spans="2:12" ht="15" thickBot="1" x14ac:dyDescent="0.25">
      <c r="B284" s="16"/>
      <c r="C284" s="353" t="s">
        <v>546</v>
      </c>
      <c r="D284" s="355">
        <f t="shared" si="8"/>
        <v>213180</v>
      </c>
      <c r="E284" s="751">
        <v>220000</v>
      </c>
      <c r="F284" s="69"/>
      <c r="G284" s="355">
        <v>208205.07181351614</v>
      </c>
      <c r="H284" s="730">
        <f t="shared" si="9"/>
        <v>213180</v>
      </c>
      <c r="I284" s="361"/>
      <c r="J284" s="361"/>
      <c r="K284" s="361"/>
      <c r="L284" s="361"/>
    </row>
    <row r="285" spans="2:12" ht="15" thickBot="1" x14ac:dyDescent="0.25">
      <c r="B285" s="16"/>
      <c r="C285" s="353" t="s">
        <v>547</v>
      </c>
      <c r="D285" s="355">
        <f t="shared" si="8"/>
        <v>213230</v>
      </c>
      <c r="E285" s="751">
        <v>220000</v>
      </c>
      <c r="F285" s="69"/>
      <c r="G285" s="355">
        <v>208252.00471711936</v>
      </c>
      <c r="H285" s="730">
        <f t="shared" si="9"/>
        <v>213230</v>
      </c>
      <c r="I285" s="361"/>
      <c r="J285" s="361"/>
      <c r="K285" s="361"/>
      <c r="L285" s="361"/>
    </row>
    <row r="286" spans="2:12" ht="15" thickBot="1" x14ac:dyDescent="0.25">
      <c r="B286" s="16"/>
      <c r="C286" s="353" t="s">
        <v>548</v>
      </c>
      <c r="D286" s="355">
        <f t="shared" si="8"/>
        <v>206140</v>
      </c>
      <c r="E286" s="751">
        <v>220000</v>
      </c>
      <c r="F286" s="69"/>
      <c r="G286" s="355">
        <v>201323.97427560575</v>
      </c>
      <c r="H286" s="730">
        <f t="shared" si="9"/>
        <v>206140</v>
      </c>
      <c r="I286" s="361"/>
      <c r="J286" s="361"/>
      <c r="K286" s="361"/>
      <c r="L286" s="361"/>
    </row>
    <row r="287" spans="2:12" ht="15" thickBot="1" x14ac:dyDescent="0.25">
      <c r="B287" s="16"/>
      <c r="C287" s="353" t="s">
        <v>549</v>
      </c>
      <c r="D287" s="355">
        <f t="shared" si="8"/>
        <v>206090</v>
      </c>
      <c r="E287" s="751">
        <v>220000</v>
      </c>
      <c r="F287" s="69"/>
      <c r="G287" s="355">
        <v>201279.93175911062</v>
      </c>
      <c r="H287" s="730">
        <f t="shared" si="9"/>
        <v>206090</v>
      </c>
      <c r="I287" s="361"/>
      <c r="J287" s="361"/>
      <c r="K287" s="361"/>
      <c r="L287" s="361"/>
    </row>
    <row r="288" spans="2:12" ht="15" thickBot="1" x14ac:dyDescent="0.25">
      <c r="B288" s="16"/>
      <c r="C288" s="353" t="s">
        <v>550</v>
      </c>
      <c r="D288" s="355">
        <f t="shared" si="8"/>
        <v>208360</v>
      </c>
      <c r="E288" s="751">
        <v>220000</v>
      </c>
      <c r="F288" s="69"/>
      <c r="G288" s="355">
        <v>203492.47571196724</v>
      </c>
      <c r="H288" s="730">
        <f t="shared" si="9"/>
        <v>208360</v>
      </c>
      <c r="I288" s="361"/>
      <c r="J288" s="361"/>
      <c r="K288" s="361"/>
      <c r="L288" s="361"/>
    </row>
    <row r="289" spans="2:12" ht="15" thickBot="1" x14ac:dyDescent="0.25">
      <c r="B289" s="16"/>
      <c r="C289" s="353" t="s">
        <v>551</v>
      </c>
      <c r="D289" s="355">
        <f t="shared" si="8"/>
        <v>206270</v>
      </c>
      <c r="E289" s="751">
        <v>220000</v>
      </c>
      <c r="F289" s="69"/>
      <c r="G289" s="355">
        <v>201454.64571196726</v>
      </c>
      <c r="H289" s="730">
        <f t="shared" si="9"/>
        <v>206270</v>
      </c>
      <c r="I289" s="361"/>
      <c r="J289" s="361"/>
      <c r="K289" s="361"/>
      <c r="L289" s="361"/>
    </row>
    <row r="290" spans="2:12" ht="15" thickBot="1" x14ac:dyDescent="0.25">
      <c r="B290" s="16"/>
      <c r="C290" s="353" t="s">
        <v>552</v>
      </c>
      <c r="D290" s="355">
        <f t="shared" si="8"/>
        <v>206090</v>
      </c>
      <c r="E290" s="751">
        <v>220000</v>
      </c>
      <c r="F290" s="69"/>
      <c r="G290" s="355">
        <v>201279.93175911062</v>
      </c>
      <c r="H290" s="730">
        <f t="shared" si="9"/>
        <v>206090</v>
      </c>
      <c r="I290" s="361"/>
      <c r="J290" s="361"/>
      <c r="K290" s="361"/>
      <c r="L290" s="361"/>
    </row>
    <row r="291" spans="2:12" ht="15" thickBot="1" x14ac:dyDescent="0.25">
      <c r="B291" s="16"/>
      <c r="C291" s="353" t="s">
        <v>553</v>
      </c>
      <c r="D291" s="355">
        <f t="shared" si="8"/>
        <v>206140</v>
      </c>
      <c r="E291" s="751">
        <v>220000</v>
      </c>
      <c r="F291" s="69"/>
      <c r="G291" s="355">
        <v>201323.97427560575</v>
      </c>
      <c r="H291" s="730">
        <f t="shared" si="9"/>
        <v>206140</v>
      </c>
      <c r="I291" s="361"/>
      <c r="J291" s="361"/>
      <c r="K291" s="361"/>
      <c r="L291" s="361"/>
    </row>
    <row r="292" spans="2:12" ht="15" thickBot="1" x14ac:dyDescent="0.25">
      <c r="B292" s="16"/>
      <c r="C292" s="353" t="s">
        <v>554</v>
      </c>
      <c r="D292" s="355">
        <f t="shared" si="8"/>
        <v>213230</v>
      </c>
      <c r="E292" s="751">
        <v>220000</v>
      </c>
      <c r="F292" s="69"/>
      <c r="G292" s="355">
        <v>208252.00471711936</v>
      </c>
      <c r="H292" s="730">
        <f t="shared" si="9"/>
        <v>213230</v>
      </c>
      <c r="I292" s="361"/>
      <c r="J292" s="361"/>
      <c r="K292" s="361"/>
      <c r="L292" s="361"/>
    </row>
    <row r="293" spans="2:12" ht="15" thickBot="1" x14ac:dyDescent="0.25">
      <c r="B293" s="16"/>
      <c r="C293" s="353" t="s">
        <v>555</v>
      </c>
      <c r="D293" s="355">
        <f t="shared" si="8"/>
        <v>213180</v>
      </c>
      <c r="E293" s="751">
        <v>220000</v>
      </c>
      <c r="F293" s="69"/>
      <c r="G293" s="355">
        <v>208205.07181351614</v>
      </c>
      <c r="H293" s="730">
        <f t="shared" si="9"/>
        <v>213180</v>
      </c>
      <c r="I293" s="361"/>
      <c r="J293" s="361"/>
      <c r="K293" s="361"/>
      <c r="L293" s="361"/>
    </row>
    <row r="294" spans="2:12" ht="15" thickBot="1" x14ac:dyDescent="0.25">
      <c r="B294" s="16"/>
      <c r="C294" s="353" t="s">
        <v>556</v>
      </c>
      <c r="D294" s="355">
        <f t="shared" si="8"/>
        <v>219430</v>
      </c>
      <c r="E294" s="751">
        <v>220000</v>
      </c>
      <c r="F294" s="69"/>
      <c r="G294" s="355">
        <v>214308.80937472027</v>
      </c>
      <c r="H294" s="730">
        <f t="shared" si="9"/>
        <v>219430</v>
      </c>
      <c r="I294" s="361"/>
      <c r="J294" s="361"/>
      <c r="K294" s="361"/>
      <c r="L294" s="361"/>
    </row>
    <row r="295" spans="2:12" ht="15" thickBot="1" x14ac:dyDescent="0.25">
      <c r="B295" s="16"/>
      <c r="C295" s="353" t="s">
        <v>557</v>
      </c>
      <c r="D295" s="355">
        <f t="shared" si="8"/>
        <v>217400</v>
      </c>
      <c r="E295" s="751">
        <v>220000</v>
      </c>
      <c r="F295" s="69"/>
      <c r="G295" s="355">
        <v>212320.49246095851</v>
      </c>
      <c r="H295" s="730">
        <f t="shared" si="9"/>
        <v>217400</v>
      </c>
      <c r="I295" s="361"/>
      <c r="J295" s="361"/>
      <c r="K295" s="361"/>
      <c r="L295" s="361"/>
    </row>
    <row r="296" spans="2:12" ht="15" thickBot="1" x14ac:dyDescent="0.25">
      <c r="B296" s="16"/>
      <c r="C296" s="353" t="s">
        <v>558</v>
      </c>
      <c r="D296" s="355">
        <f t="shared" si="8"/>
        <v>212210</v>
      </c>
      <c r="E296" s="751">
        <v>220000</v>
      </c>
      <c r="F296" s="69"/>
      <c r="G296" s="355">
        <v>207250.49708712974</v>
      </c>
      <c r="H296" s="730">
        <f t="shared" si="9"/>
        <v>212210</v>
      </c>
      <c r="I296" s="361"/>
      <c r="J296" s="361"/>
      <c r="K296" s="361"/>
      <c r="L296" s="361"/>
    </row>
    <row r="297" spans="2:12" ht="15" thickBot="1" x14ac:dyDescent="0.25">
      <c r="B297" s="16"/>
      <c r="C297" s="353" t="s">
        <v>559</v>
      </c>
      <c r="D297" s="355">
        <f t="shared" si="8"/>
        <v>210070</v>
      </c>
      <c r="E297" s="751">
        <v>220000</v>
      </c>
      <c r="F297" s="69"/>
      <c r="G297" s="355">
        <v>205166.14249347866</v>
      </c>
      <c r="H297" s="730">
        <f t="shared" si="9"/>
        <v>210070</v>
      </c>
      <c r="I297" s="361"/>
      <c r="J297" s="361"/>
      <c r="K297" s="361"/>
      <c r="L297" s="361"/>
    </row>
    <row r="298" spans="2:12" ht="15" thickBot="1" x14ac:dyDescent="0.25">
      <c r="B298" s="16"/>
      <c r="C298" s="353" t="s">
        <v>560</v>
      </c>
      <c r="D298" s="355">
        <f t="shared" si="8"/>
        <v>214470</v>
      </c>
      <c r="E298" s="751">
        <v>220000</v>
      </c>
      <c r="F298" s="69"/>
      <c r="G298" s="355">
        <v>209464.56295302464</v>
      </c>
      <c r="H298" s="730">
        <f t="shared" si="9"/>
        <v>214470</v>
      </c>
      <c r="I298" s="361"/>
      <c r="J298" s="361"/>
      <c r="K298" s="361"/>
      <c r="L298" s="361"/>
    </row>
    <row r="299" spans="2:12" ht="15" thickBot="1" x14ac:dyDescent="0.25">
      <c r="B299" s="16"/>
      <c r="C299" s="353" t="s">
        <v>561</v>
      </c>
      <c r="D299" s="355">
        <f t="shared" si="8"/>
        <v>214470</v>
      </c>
      <c r="E299" s="751">
        <v>220000</v>
      </c>
      <c r="F299" s="69"/>
      <c r="G299" s="355">
        <v>209464.56295302464</v>
      </c>
      <c r="H299" s="730">
        <f t="shared" si="9"/>
        <v>214470</v>
      </c>
      <c r="I299" s="361"/>
      <c r="J299" s="361"/>
      <c r="K299" s="361"/>
      <c r="L299" s="361"/>
    </row>
    <row r="300" spans="2:12" ht="15" thickBot="1" x14ac:dyDescent="0.25">
      <c r="B300" s="16"/>
      <c r="C300" s="353" t="s">
        <v>562</v>
      </c>
      <c r="D300" s="355">
        <f t="shared" si="8"/>
        <v>212160</v>
      </c>
      <c r="E300" s="751">
        <v>220000</v>
      </c>
      <c r="F300" s="69"/>
      <c r="G300" s="355">
        <v>207203.97249347865</v>
      </c>
      <c r="H300" s="730">
        <f t="shared" si="9"/>
        <v>212160</v>
      </c>
      <c r="I300" s="361"/>
      <c r="J300" s="361"/>
      <c r="K300" s="361"/>
      <c r="L300" s="361"/>
    </row>
    <row r="301" spans="2:12" ht="15" thickBot="1" x14ac:dyDescent="0.25">
      <c r="B301" s="16"/>
      <c r="C301" s="353" t="s">
        <v>563</v>
      </c>
      <c r="D301" s="355">
        <f t="shared" si="8"/>
        <v>212210</v>
      </c>
      <c r="E301" s="751">
        <v>220000</v>
      </c>
      <c r="F301" s="69"/>
      <c r="G301" s="355">
        <v>207250.49708712974</v>
      </c>
      <c r="H301" s="730">
        <f t="shared" si="9"/>
        <v>212210</v>
      </c>
      <c r="I301" s="361"/>
      <c r="J301" s="361"/>
      <c r="K301" s="361"/>
      <c r="L301" s="361"/>
    </row>
    <row r="302" spans="2:12" ht="15" thickBot="1" x14ac:dyDescent="0.25">
      <c r="B302" s="16"/>
      <c r="C302" s="353" t="s">
        <v>564</v>
      </c>
      <c r="D302" s="355">
        <f t="shared" si="8"/>
        <v>217400</v>
      </c>
      <c r="E302" s="751">
        <v>220000</v>
      </c>
      <c r="F302" s="69"/>
      <c r="G302" s="355">
        <v>212320.49246095851</v>
      </c>
      <c r="H302" s="730">
        <f t="shared" si="9"/>
        <v>217400</v>
      </c>
      <c r="I302" s="361"/>
      <c r="J302" s="361"/>
      <c r="K302" s="361"/>
      <c r="L302" s="361"/>
    </row>
    <row r="303" spans="2:12" ht="15" thickBot="1" x14ac:dyDescent="0.25">
      <c r="B303" s="16"/>
      <c r="C303" s="353" t="s">
        <v>565</v>
      </c>
      <c r="D303" s="355">
        <f t="shared" si="8"/>
        <v>217350</v>
      </c>
      <c r="E303" s="751">
        <v>220000</v>
      </c>
      <c r="F303" s="69"/>
      <c r="G303" s="355">
        <v>212270.97937472028</v>
      </c>
      <c r="H303" s="730">
        <f t="shared" si="9"/>
        <v>217350</v>
      </c>
      <c r="I303" s="361"/>
      <c r="J303" s="361"/>
      <c r="K303" s="361"/>
      <c r="L303" s="361"/>
    </row>
    <row r="304" spans="2:12" ht="15" thickBot="1" x14ac:dyDescent="0.25">
      <c r="B304" s="16"/>
      <c r="C304" s="353" t="s">
        <v>566</v>
      </c>
      <c r="D304" s="355">
        <f t="shared" si="8"/>
        <v>217840</v>
      </c>
      <c r="E304" s="751">
        <v>220000</v>
      </c>
      <c r="F304" s="69"/>
      <c r="G304" s="355">
        <v>212750.84233319809</v>
      </c>
      <c r="H304" s="730">
        <f t="shared" si="9"/>
        <v>217840</v>
      </c>
      <c r="I304" s="361"/>
      <c r="J304" s="361"/>
      <c r="K304" s="361"/>
      <c r="L304" s="361"/>
    </row>
    <row r="305" spans="2:12" ht="15" thickBot="1" x14ac:dyDescent="0.25">
      <c r="B305" s="16"/>
      <c r="C305" s="353" t="s">
        <v>567</v>
      </c>
      <c r="D305" s="355">
        <f t="shared" si="8"/>
        <v>217840</v>
      </c>
      <c r="E305" s="751">
        <v>220000</v>
      </c>
      <c r="F305" s="69"/>
      <c r="G305" s="355">
        <v>212750.84233319809</v>
      </c>
      <c r="H305" s="730">
        <f t="shared" si="9"/>
        <v>217840</v>
      </c>
      <c r="I305" s="361"/>
      <c r="J305" s="361"/>
      <c r="K305" s="361"/>
      <c r="L305" s="361"/>
    </row>
    <row r="306" spans="2:12" ht="15" thickBot="1" x14ac:dyDescent="0.25">
      <c r="B306" s="16"/>
      <c r="C306" s="353" t="s">
        <v>568</v>
      </c>
      <c r="D306" s="355">
        <f t="shared" si="8"/>
        <v>219430</v>
      </c>
      <c r="E306" s="751">
        <v>220000</v>
      </c>
      <c r="F306" s="69"/>
      <c r="G306" s="355">
        <v>214308.80937472027</v>
      </c>
      <c r="H306" s="730">
        <f t="shared" si="9"/>
        <v>219430</v>
      </c>
      <c r="I306" s="361"/>
      <c r="J306" s="361"/>
      <c r="K306" s="361"/>
      <c r="L306" s="361"/>
    </row>
    <row r="307" spans="2:12" ht="15" thickBot="1" x14ac:dyDescent="0.25">
      <c r="B307" s="16"/>
      <c r="C307" s="353" t="s">
        <v>569</v>
      </c>
      <c r="D307" s="355">
        <f t="shared" si="8"/>
        <v>217400</v>
      </c>
      <c r="E307" s="751">
        <v>220000</v>
      </c>
      <c r="F307" s="69"/>
      <c r="G307" s="355">
        <v>212320.49246095851</v>
      </c>
      <c r="H307" s="730">
        <f t="shared" si="9"/>
        <v>217400</v>
      </c>
      <c r="I307" s="361"/>
      <c r="J307" s="361"/>
      <c r="K307" s="361"/>
      <c r="L307" s="361"/>
    </row>
    <row r="308" spans="2:12" ht="15" thickBot="1" x14ac:dyDescent="0.25">
      <c r="B308" s="16"/>
      <c r="C308" s="353" t="s">
        <v>570</v>
      </c>
      <c r="D308" s="355">
        <f t="shared" si="8"/>
        <v>210120</v>
      </c>
      <c r="E308" s="751">
        <v>220000</v>
      </c>
      <c r="F308" s="69"/>
      <c r="G308" s="355">
        <v>205212.66708712975</v>
      </c>
      <c r="H308" s="730">
        <f t="shared" si="9"/>
        <v>210120</v>
      </c>
      <c r="I308" s="361"/>
      <c r="J308" s="361"/>
      <c r="K308" s="361"/>
      <c r="L308" s="361"/>
    </row>
    <row r="309" spans="2:12" ht="15" thickBot="1" x14ac:dyDescent="0.25">
      <c r="B309" s="16"/>
      <c r="C309" s="353" t="s">
        <v>571</v>
      </c>
      <c r="D309" s="355">
        <f t="shared" si="8"/>
        <v>210070</v>
      </c>
      <c r="E309" s="751">
        <v>220000</v>
      </c>
      <c r="F309" s="69"/>
      <c r="G309" s="355">
        <v>205166.14249347866</v>
      </c>
      <c r="H309" s="730">
        <f t="shared" si="9"/>
        <v>210070</v>
      </c>
      <c r="I309" s="361"/>
      <c r="J309" s="361"/>
      <c r="K309" s="361"/>
      <c r="L309" s="361"/>
    </row>
    <row r="310" spans="2:12" ht="15" thickBot="1" x14ac:dyDescent="0.25">
      <c r="B310" s="16"/>
      <c r="C310" s="353" t="s">
        <v>572</v>
      </c>
      <c r="D310" s="355">
        <f t="shared" si="8"/>
        <v>214470</v>
      </c>
      <c r="E310" s="751">
        <v>220000</v>
      </c>
      <c r="F310" s="69"/>
      <c r="G310" s="355">
        <v>209464.56295302464</v>
      </c>
      <c r="H310" s="730">
        <f t="shared" si="9"/>
        <v>214470</v>
      </c>
      <c r="I310" s="361"/>
      <c r="J310" s="361"/>
      <c r="K310" s="361"/>
      <c r="L310" s="361"/>
    </row>
    <row r="311" spans="2:12" ht="15" thickBot="1" x14ac:dyDescent="0.25">
      <c r="B311" s="16"/>
      <c r="C311" s="353" t="s">
        <v>573</v>
      </c>
      <c r="D311" s="355">
        <f t="shared" si="8"/>
        <v>214470</v>
      </c>
      <c r="E311" s="751">
        <v>220000</v>
      </c>
      <c r="F311" s="69"/>
      <c r="G311" s="355">
        <v>209464.56295302464</v>
      </c>
      <c r="H311" s="730">
        <f t="shared" si="9"/>
        <v>214470</v>
      </c>
      <c r="I311" s="361"/>
      <c r="J311" s="361"/>
      <c r="K311" s="361"/>
      <c r="L311" s="361"/>
    </row>
    <row r="312" spans="2:12" ht="15" thickBot="1" x14ac:dyDescent="0.25">
      <c r="B312" s="16"/>
      <c r="C312" s="353" t="s">
        <v>574</v>
      </c>
      <c r="D312" s="355">
        <f t="shared" si="8"/>
        <v>212160</v>
      </c>
      <c r="E312" s="751">
        <v>220000</v>
      </c>
      <c r="F312" s="69"/>
      <c r="G312" s="355">
        <v>207203.96249347867</v>
      </c>
      <c r="H312" s="730">
        <f t="shared" si="9"/>
        <v>212160</v>
      </c>
      <c r="I312" s="361"/>
      <c r="J312" s="361"/>
      <c r="K312" s="361"/>
      <c r="L312" s="361"/>
    </row>
    <row r="313" spans="2:12" ht="15" thickBot="1" x14ac:dyDescent="0.25">
      <c r="B313" s="16"/>
      <c r="C313" s="353" t="s">
        <v>575</v>
      </c>
      <c r="D313" s="355">
        <f t="shared" si="8"/>
        <v>212210</v>
      </c>
      <c r="E313" s="751">
        <v>220000</v>
      </c>
      <c r="F313" s="69"/>
      <c r="G313" s="355">
        <v>207250.49708712974</v>
      </c>
      <c r="H313" s="730">
        <f t="shared" si="9"/>
        <v>212210</v>
      </c>
      <c r="I313" s="361"/>
      <c r="J313" s="361"/>
      <c r="K313" s="361"/>
      <c r="L313" s="361"/>
    </row>
    <row r="314" spans="2:12" ht="15" thickBot="1" x14ac:dyDescent="0.25">
      <c r="B314" s="16"/>
      <c r="C314" s="353" t="s">
        <v>576</v>
      </c>
      <c r="D314" s="355">
        <f t="shared" si="8"/>
        <v>219480</v>
      </c>
      <c r="E314" s="751">
        <v>220000</v>
      </c>
      <c r="F314" s="69"/>
      <c r="G314" s="355">
        <v>214358.3224609585</v>
      </c>
      <c r="H314" s="730">
        <f t="shared" si="9"/>
        <v>219480</v>
      </c>
      <c r="I314" s="361"/>
      <c r="J314" s="361"/>
      <c r="K314" s="361"/>
      <c r="L314" s="361"/>
    </row>
    <row r="315" spans="2:12" ht="15" thickBot="1" x14ac:dyDescent="0.25">
      <c r="B315" s="16"/>
      <c r="C315" s="353" t="s">
        <v>577</v>
      </c>
      <c r="D315" s="355">
        <f t="shared" si="8"/>
        <v>219430</v>
      </c>
      <c r="E315" s="751">
        <v>220000</v>
      </c>
      <c r="F315" s="69"/>
      <c r="G315" s="355">
        <v>214308.80937472027</v>
      </c>
      <c r="H315" s="730">
        <f t="shared" si="9"/>
        <v>219430</v>
      </c>
      <c r="I315" s="361"/>
      <c r="J315" s="361"/>
      <c r="K315" s="361"/>
      <c r="L315" s="361"/>
    </row>
    <row r="316" spans="2:12" ht="15" thickBot="1" x14ac:dyDescent="0.25">
      <c r="B316" s="16"/>
      <c r="C316" s="353" t="s">
        <v>578</v>
      </c>
      <c r="D316" s="355">
        <f t="shared" si="8"/>
        <v>217840</v>
      </c>
      <c r="E316" s="751">
        <v>220000</v>
      </c>
      <c r="F316" s="69"/>
      <c r="G316" s="355">
        <v>212750.84233319809</v>
      </c>
      <c r="H316" s="730">
        <f t="shared" si="9"/>
        <v>217840</v>
      </c>
      <c r="I316" s="361"/>
      <c r="J316" s="361"/>
      <c r="K316" s="361"/>
      <c r="L316" s="361"/>
    </row>
    <row r="317" spans="2:12" ht="15" thickBot="1" x14ac:dyDescent="0.25">
      <c r="B317" s="16"/>
      <c r="C317" s="353" t="s">
        <v>579</v>
      </c>
      <c r="D317" s="355">
        <f t="shared" si="8"/>
        <v>219920</v>
      </c>
      <c r="E317" s="751">
        <v>220000</v>
      </c>
      <c r="F317" s="69"/>
      <c r="G317" s="355">
        <v>214788.6723331981</v>
      </c>
      <c r="H317" s="730">
        <f t="shared" si="9"/>
        <v>219920</v>
      </c>
      <c r="I317" s="361"/>
      <c r="J317" s="361"/>
      <c r="K317" s="361"/>
      <c r="L317" s="361"/>
    </row>
    <row r="318" spans="2:12" ht="15" thickBot="1" x14ac:dyDescent="0.25">
      <c r="B318" s="16"/>
      <c r="C318" s="353" t="s">
        <v>580</v>
      </c>
      <c r="D318" s="355">
        <f t="shared" si="8"/>
        <v>220680</v>
      </c>
      <c r="E318" s="751">
        <v>220000</v>
      </c>
      <c r="F318" s="69"/>
      <c r="G318" s="355">
        <v>215523.56488696107</v>
      </c>
      <c r="H318" s="730">
        <f t="shared" si="9"/>
        <v>220680</v>
      </c>
      <c r="I318" s="361"/>
      <c r="J318" s="361"/>
      <c r="K318" s="361"/>
      <c r="L318" s="361"/>
    </row>
    <row r="319" spans="2:12" ht="15" thickBot="1" x14ac:dyDescent="0.25">
      <c r="B319" s="16"/>
      <c r="C319" s="353" t="s">
        <v>581</v>
      </c>
      <c r="D319" s="355">
        <f t="shared" si="8"/>
        <v>220730</v>
      </c>
      <c r="E319" s="751">
        <v>220000</v>
      </c>
      <c r="F319" s="69"/>
      <c r="G319" s="355">
        <v>215573.58200972635</v>
      </c>
      <c r="H319" s="730">
        <f t="shared" si="9"/>
        <v>220730</v>
      </c>
      <c r="I319" s="361"/>
      <c r="J319" s="361"/>
      <c r="K319" s="361"/>
      <c r="L319" s="361"/>
    </row>
    <row r="320" spans="2:12" ht="15" thickBot="1" x14ac:dyDescent="0.25">
      <c r="B320" s="16"/>
      <c r="C320" s="353" t="s">
        <v>582</v>
      </c>
      <c r="D320" s="355">
        <f t="shared" si="8"/>
        <v>211330</v>
      </c>
      <c r="E320" s="751">
        <v>220000</v>
      </c>
      <c r="F320" s="69"/>
      <c r="G320" s="355">
        <v>206393.97964943454</v>
      </c>
      <c r="H320" s="730">
        <f t="shared" si="9"/>
        <v>211330</v>
      </c>
      <c r="I320" s="361"/>
      <c r="J320" s="361"/>
      <c r="K320" s="361"/>
      <c r="L320" s="361"/>
    </row>
    <row r="321" spans="2:12" ht="15" thickBot="1" x14ac:dyDescent="0.25">
      <c r="B321" s="16"/>
      <c r="C321" s="353" t="s">
        <v>583</v>
      </c>
      <c r="D321" s="355">
        <f t="shared" si="8"/>
        <v>213370</v>
      </c>
      <c r="E321" s="751">
        <v>220000</v>
      </c>
      <c r="F321" s="69"/>
      <c r="G321" s="355">
        <v>208384.76864035227</v>
      </c>
      <c r="H321" s="730">
        <f t="shared" si="9"/>
        <v>213370</v>
      </c>
      <c r="I321" s="361"/>
      <c r="J321" s="361"/>
      <c r="K321" s="361"/>
      <c r="L321" s="361"/>
    </row>
    <row r="322" spans="2:12" ht="15" thickBot="1" x14ac:dyDescent="0.25">
      <c r="B322" s="16"/>
      <c r="C322" s="353" t="s">
        <v>584</v>
      </c>
      <c r="D322" s="355">
        <f t="shared" si="8"/>
        <v>215710</v>
      </c>
      <c r="E322" s="751">
        <v>220000</v>
      </c>
      <c r="F322" s="69"/>
      <c r="G322" s="355">
        <v>210668.9724012361</v>
      </c>
      <c r="H322" s="730">
        <f t="shared" si="9"/>
        <v>215710</v>
      </c>
      <c r="I322" s="361"/>
      <c r="J322" s="361"/>
      <c r="K322" s="361"/>
      <c r="L322" s="361"/>
    </row>
    <row r="323" spans="2:12" ht="15" thickBot="1" x14ac:dyDescent="0.25">
      <c r="B323" s="16"/>
      <c r="C323" s="353" t="s">
        <v>585</v>
      </c>
      <c r="D323" s="355">
        <f t="shared" si="8"/>
        <v>215710</v>
      </c>
      <c r="E323" s="751">
        <v>220000</v>
      </c>
      <c r="F323" s="69"/>
      <c r="G323" s="355">
        <v>210668.98240123611</v>
      </c>
      <c r="H323" s="730">
        <f t="shared" si="9"/>
        <v>215710</v>
      </c>
      <c r="I323" s="361"/>
      <c r="J323" s="361"/>
      <c r="K323" s="361"/>
      <c r="L323" s="361"/>
    </row>
    <row r="324" spans="2:12" ht="15" thickBot="1" x14ac:dyDescent="0.25">
      <c r="B324" s="16"/>
      <c r="C324" s="353" t="s">
        <v>586</v>
      </c>
      <c r="D324" s="355">
        <f t="shared" si="8"/>
        <v>213370</v>
      </c>
      <c r="E324" s="751">
        <v>220000</v>
      </c>
      <c r="F324" s="69"/>
      <c r="G324" s="355">
        <v>208384.76864035227</v>
      </c>
      <c r="H324" s="730">
        <f t="shared" si="9"/>
        <v>213370</v>
      </c>
      <c r="I324" s="361"/>
      <c r="J324" s="361"/>
      <c r="K324" s="361"/>
      <c r="L324" s="361"/>
    </row>
    <row r="325" spans="2:12" ht="15" thickBot="1" x14ac:dyDescent="0.25">
      <c r="B325" s="16"/>
      <c r="C325" s="353" t="s">
        <v>587</v>
      </c>
      <c r="D325" s="355">
        <f t="shared" si="8"/>
        <v>213410</v>
      </c>
      <c r="E325" s="751">
        <v>220000</v>
      </c>
      <c r="F325" s="69"/>
      <c r="G325" s="355">
        <v>208431.80964943455</v>
      </c>
      <c r="H325" s="730">
        <f t="shared" si="9"/>
        <v>213410</v>
      </c>
      <c r="I325" s="361"/>
      <c r="J325" s="361"/>
      <c r="K325" s="361"/>
      <c r="L325" s="361"/>
    </row>
    <row r="326" spans="2:12" ht="15" thickBot="1" x14ac:dyDescent="0.25">
      <c r="B326" s="16"/>
      <c r="C326" s="353" t="s">
        <v>588</v>
      </c>
      <c r="D326" s="355">
        <f t="shared" si="8"/>
        <v>220730</v>
      </c>
      <c r="E326" s="751">
        <v>220000</v>
      </c>
      <c r="F326" s="69"/>
      <c r="G326" s="355">
        <v>215573.58200972635</v>
      </c>
      <c r="H326" s="730">
        <f t="shared" si="9"/>
        <v>220730</v>
      </c>
      <c r="I326" s="361"/>
      <c r="J326" s="361"/>
      <c r="K326" s="361"/>
      <c r="L326" s="361"/>
    </row>
    <row r="327" spans="2:12" ht="15" thickBot="1" x14ac:dyDescent="0.25">
      <c r="B327" s="16"/>
      <c r="C327" s="353" t="s">
        <v>589</v>
      </c>
      <c r="D327" s="355">
        <f t="shared" si="8"/>
        <v>220680</v>
      </c>
      <c r="E327" s="751">
        <v>220000</v>
      </c>
      <c r="F327" s="69"/>
      <c r="G327" s="355">
        <v>215523.56488696107</v>
      </c>
      <c r="H327" s="730">
        <f t="shared" si="9"/>
        <v>220680</v>
      </c>
      <c r="I327" s="361"/>
      <c r="J327" s="361"/>
      <c r="K327" s="361"/>
      <c r="L327" s="361"/>
    </row>
    <row r="328" spans="2:12" ht="15" thickBot="1" x14ac:dyDescent="0.25">
      <c r="B328" s="16"/>
      <c r="C328" s="353" t="s">
        <v>590</v>
      </c>
      <c r="D328" s="355">
        <f t="shared" si="8"/>
        <v>221170</v>
      </c>
      <c r="E328" s="751">
        <v>220000</v>
      </c>
      <c r="F328" s="69"/>
      <c r="G328" s="355">
        <v>216008.41368543109</v>
      </c>
      <c r="H328" s="730">
        <f t="shared" si="9"/>
        <v>221170</v>
      </c>
      <c r="I328" s="361"/>
      <c r="J328" s="361"/>
      <c r="K328" s="361"/>
      <c r="L328" s="361"/>
    </row>
    <row r="329" spans="2:12" ht="15" thickBot="1" x14ac:dyDescent="0.25">
      <c r="B329" s="16"/>
      <c r="C329" s="353" t="s">
        <v>591</v>
      </c>
      <c r="D329" s="355">
        <f t="shared" ref="D329:D392" si="10">ROUND((G329*$J$1),-1)</f>
        <v>221170</v>
      </c>
      <c r="E329" s="751">
        <v>220000</v>
      </c>
      <c r="F329" s="69"/>
      <c r="G329" s="355">
        <v>216008.41368543109</v>
      </c>
      <c r="H329" s="730">
        <f t="shared" si="9"/>
        <v>221170</v>
      </c>
      <c r="I329" s="361"/>
      <c r="J329" s="361"/>
      <c r="K329" s="361"/>
      <c r="L329" s="361"/>
    </row>
    <row r="330" spans="2:12" ht="15" thickBot="1" x14ac:dyDescent="0.25">
      <c r="B330" s="16"/>
      <c r="C330" s="353" t="s">
        <v>592</v>
      </c>
      <c r="D330" s="355">
        <f t="shared" si="10"/>
        <v>218590</v>
      </c>
      <c r="E330" s="751">
        <v>220000</v>
      </c>
      <c r="F330" s="69"/>
      <c r="G330" s="355">
        <v>213485.73488696106</v>
      </c>
      <c r="H330" s="730">
        <f t="shared" ref="H330:H393" si="11">D330</f>
        <v>218590</v>
      </c>
      <c r="I330" s="361"/>
      <c r="J330" s="361"/>
      <c r="K330" s="361"/>
      <c r="L330" s="361"/>
    </row>
    <row r="331" spans="2:12" ht="15" thickBot="1" x14ac:dyDescent="0.25">
      <c r="B331" s="16"/>
      <c r="C331" s="353" t="s">
        <v>593</v>
      </c>
      <c r="D331" s="355">
        <f t="shared" si="10"/>
        <v>220730</v>
      </c>
      <c r="E331" s="751">
        <v>220000</v>
      </c>
      <c r="F331" s="69"/>
      <c r="G331" s="355">
        <v>215573.58200972635</v>
      </c>
      <c r="H331" s="730">
        <f t="shared" si="11"/>
        <v>220730</v>
      </c>
      <c r="I331" s="361"/>
      <c r="J331" s="361"/>
      <c r="K331" s="361"/>
      <c r="L331" s="361"/>
    </row>
    <row r="332" spans="2:12" ht="15" thickBot="1" x14ac:dyDescent="0.25">
      <c r="B332" s="16"/>
      <c r="C332" s="353" t="s">
        <v>594</v>
      </c>
      <c r="D332" s="355">
        <f t="shared" si="10"/>
        <v>213410</v>
      </c>
      <c r="E332" s="751">
        <v>220000</v>
      </c>
      <c r="F332" s="69"/>
      <c r="G332" s="355">
        <v>208431.80964943455</v>
      </c>
      <c r="H332" s="730">
        <f t="shared" si="11"/>
        <v>213410</v>
      </c>
      <c r="I332" s="361"/>
      <c r="J332" s="361"/>
      <c r="K332" s="361"/>
      <c r="L332" s="361"/>
    </row>
    <row r="333" spans="2:12" ht="15" thickBot="1" x14ac:dyDescent="0.25">
      <c r="B333" s="16"/>
      <c r="C333" s="353" t="s">
        <v>595</v>
      </c>
      <c r="D333" s="355">
        <f t="shared" si="10"/>
        <v>213370</v>
      </c>
      <c r="E333" s="751">
        <v>220000</v>
      </c>
      <c r="F333" s="69"/>
      <c r="G333" s="355">
        <v>208384.76864035227</v>
      </c>
      <c r="H333" s="730">
        <f t="shared" si="11"/>
        <v>213370</v>
      </c>
      <c r="I333" s="361"/>
      <c r="J333" s="361"/>
      <c r="K333" s="361"/>
      <c r="L333" s="361"/>
    </row>
    <row r="334" spans="2:12" ht="15" thickBot="1" x14ac:dyDescent="0.25">
      <c r="B334" s="16"/>
      <c r="C334" s="353" t="s">
        <v>596</v>
      </c>
      <c r="D334" s="355">
        <f t="shared" si="10"/>
        <v>215710</v>
      </c>
      <c r="E334" s="751">
        <v>220000</v>
      </c>
      <c r="F334" s="69"/>
      <c r="G334" s="355">
        <v>210668.9724012361</v>
      </c>
      <c r="H334" s="730">
        <f t="shared" si="11"/>
        <v>215710</v>
      </c>
      <c r="I334" s="361"/>
      <c r="J334" s="361"/>
      <c r="K334" s="361"/>
      <c r="L334" s="361"/>
    </row>
    <row r="335" spans="2:12" ht="15" thickBot="1" x14ac:dyDescent="0.25">
      <c r="B335" s="16"/>
      <c r="C335" s="353" t="s">
        <v>597</v>
      </c>
      <c r="D335" s="355">
        <f t="shared" si="10"/>
        <v>215710</v>
      </c>
      <c r="E335" s="751">
        <v>220000</v>
      </c>
      <c r="F335" s="69"/>
      <c r="G335" s="355">
        <v>210668.9724012361</v>
      </c>
      <c r="H335" s="730">
        <f t="shared" si="11"/>
        <v>215710</v>
      </c>
      <c r="I335" s="361"/>
      <c r="J335" s="361"/>
      <c r="K335" s="361"/>
      <c r="L335" s="361"/>
    </row>
    <row r="336" spans="2:12" ht="15" thickBot="1" x14ac:dyDescent="0.25">
      <c r="B336" s="16"/>
      <c r="C336" s="353" t="s">
        <v>598</v>
      </c>
      <c r="D336" s="355">
        <f t="shared" si="10"/>
        <v>213370</v>
      </c>
      <c r="E336" s="751">
        <v>220000</v>
      </c>
      <c r="F336" s="69"/>
      <c r="G336" s="355">
        <v>208384.76864035227</v>
      </c>
      <c r="H336" s="730">
        <f t="shared" si="11"/>
        <v>213370</v>
      </c>
      <c r="I336" s="361"/>
      <c r="J336" s="361"/>
      <c r="K336" s="361"/>
      <c r="L336" s="361"/>
    </row>
    <row r="337" spans="2:12" ht="15" thickBot="1" x14ac:dyDescent="0.25">
      <c r="B337" s="16"/>
      <c r="C337" s="353" t="s">
        <v>599</v>
      </c>
      <c r="D337" s="355">
        <f t="shared" si="10"/>
        <v>211330</v>
      </c>
      <c r="E337" s="751">
        <v>220000</v>
      </c>
      <c r="F337" s="69"/>
      <c r="G337" s="355">
        <v>206393.97964943454</v>
      </c>
      <c r="H337" s="730">
        <f t="shared" si="11"/>
        <v>211330</v>
      </c>
      <c r="I337" s="361"/>
      <c r="J337" s="361"/>
      <c r="K337" s="361"/>
      <c r="L337" s="361"/>
    </row>
    <row r="338" spans="2:12" ht="15" thickBot="1" x14ac:dyDescent="0.25">
      <c r="B338" s="16"/>
      <c r="C338" s="353" t="s">
        <v>600</v>
      </c>
      <c r="D338" s="355">
        <f t="shared" si="10"/>
        <v>218640</v>
      </c>
      <c r="E338" s="751">
        <v>220000</v>
      </c>
      <c r="F338" s="69"/>
      <c r="G338" s="355">
        <v>213535.75200972633</v>
      </c>
      <c r="H338" s="730">
        <f t="shared" si="11"/>
        <v>218640</v>
      </c>
      <c r="I338" s="361"/>
      <c r="J338" s="361"/>
      <c r="K338" s="361"/>
      <c r="L338" s="361"/>
    </row>
    <row r="339" spans="2:12" ht="15" thickBot="1" x14ac:dyDescent="0.25">
      <c r="B339" s="16"/>
      <c r="C339" s="353" t="s">
        <v>601</v>
      </c>
      <c r="D339" s="355">
        <f t="shared" si="10"/>
        <v>220680</v>
      </c>
      <c r="E339" s="751">
        <v>220000</v>
      </c>
      <c r="F339" s="69"/>
      <c r="G339" s="355">
        <v>215523.56488696107</v>
      </c>
      <c r="H339" s="730">
        <f t="shared" si="11"/>
        <v>220680</v>
      </c>
      <c r="I339" s="361"/>
      <c r="J339" s="361"/>
      <c r="K339" s="361"/>
      <c r="L339" s="361"/>
    </row>
    <row r="340" spans="2:12" ht="15" thickBot="1" x14ac:dyDescent="0.25">
      <c r="B340" s="16"/>
      <c r="C340" s="353" t="s">
        <v>602</v>
      </c>
      <c r="D340" s="355">
        <f t="shared" si="10"/>
        <v>221170</v>
      </c>
      <c r="E340" s="751">
        <v>220000</v>
      </c>
      <c r="F340" s="69"/>
      <c r="G340" s="355">
        <v>216008.41368543109</v>
      </c>
      <c r="H340" s="730">
        <f t="shared" si="11"/>
        <v>221170</v>
      </c>
      <c r="I340" s="361"/>
      <c r="J340" s="361"/>
      <c r="K340" s="361"/>
      <c r="L340" s="361"/>
    </row>
    <row r="341" spans="2:12" ht="15" thickBot="1" x14ac:dyDescent="0.25">
      <c r="B341" s="16"/>
      <c r="C341" s="353" t="s">
        <v>603</v>
      </c>
      <c r="D341" s="355">
        <f t="shared" si="10"/>
        <v>219090</v>
      </c>
      <c r="E341" s="751">
        <v>220000</v>
      </c>
      <c r="F341" s="69"/>
      <c r="G341" s="355">
        <v>213970.58368543111</v>
      </c>
      <c r="H341" s="730">
        <f t="shared" si="11"/>
        <v>219090</v>
      </c>
      <c r="I341" s="361"/>
      <c r="J341" s="361"/>
      <c r="K341" s="361"/>
      <c r="L341" s="361"/>
    </row>
    <row r="342" spans="2:12" ht="15" thickBot="1" x14ac:dyDescent="0.25">
      <c r="B342" s="16"/>
      <c r="C342" s="353" t="s">
        <v>604</v>
      </c>
      <c r="D342" s="355">
        <f t="shared" si="10"/>
        <v>221930</v>
      </c>
      <c r="E342" s="751">
        <v>220000</v>
      </c>
      <c r="F342" s="69"/>
      <c r="G342" s="355">
        <v>216748.31039920193</v>
      </c>
      <c r="H342" s="730">
        <f t="shared" si="11"/>
        <v>221930</v>
      </c>
      <c r="I342" s="361"/>
      <c r="J342" s="361"/>
      <c r="K342" s="361"/>
      <c r="L342" s="361"/>
    </row>
    <row r="343" spans="2:12" ht="15" thickBot="1" x14ac:dyDescent="0.25">
      <c r="B343" s="16"/>
      <c r="C343" s="353" t="s">
        <v>605</v>
      </c>
      <c r="D343" s="355">
        <f t="shared" si="10"/>
        <v>221980</v>
      </c>
      <c r="E343" s="751">
        <v>220000</v>
      </c>
      <c r="F343" s="69"/>
      <c r="G343" s="355">
        <v>216798.84155849417</v>
      </c>
      <c r="H343" s="730">
        <f t="shared" si="11"/>
        <v>221980</v>
      </c>
      <c r="I343" s="361"/>
      <c r="J343" s="361"/>
      <c r="K343" s="361"/>
      <c r="L343" s="361"/>
    </row>
    <row r="344" spans="2:12" ht="15" thickBot="1" x14ac:dyDescent="0.25">
      <c r="B344" s="16"/>
      <c r="C344" s="353" t="s">
        <v>606</v>
      </c>
      <c r="D344" s="355">
        <f t="shared" si="10"/>
        <v>214620</v>
      </c>
      <c r="E344" s="751">
        <v>220000</v>
      </c>
      <c r="F344" s="69"/>
      <c r="G344" s="355">
        <v>209613.11221173935</v>
      </c>
      <c r="H344" s="730">
        <f t="shared" si="11"/>
        <v>214620</v>
      </c>
      <c r="I344" s="361"/>
      <c r="J344" s="361"/>
      <c r="K344" s="361"/>
      <c r="L344" s="361"/>
    </row>
    <row r="345" spans="2:12" ht="15" thickBot="1" x14ac:dyDescent="0.25">
      <c r="B345" s="16"/>
      <c r="C345" s="353" t="s">
        <v>607</v>
      </c>
      <c r="D345" s="355">
        <f t="shared" si="10"/>
        <v>214580</v>
      </c>
      <c r="E345" s="751">
        <v>220000</v>
      </c>
      <c r="F345" s="69"/>
      <c r="G345" s="355">
        <v>209565.58478722585</v>
      </c>
      <c r="H345" s="730">
        <f t="shared" si="11"/>
        <v>214580</v>
      </c>
      <c r="I345" s="361"/>
      <c r="J345" s="361"/>
      <c r="K345" s="361"/>
      <c r="L345" s="361"/>
    </row>
    <row r="346" spans="2:12" ht="15" thickBot="1" x14ac:dyDescent="0.25">
      <c r="B346" s="16"/>
      <c r="C346" s="353" t="s">
        <v>608</v>
      </c>
      <c r="D346" s="355">
        <f t="shared" si="10"/>
        <v>216930</v>
      </c>
      <c r="E346" s="751">
        <v>220000</v>
      </c>
      <c r="F346" s="69"/>
      <c r="G346" s="355">
        <v>211863.40184944757</v>
      </c>
      <c r="H346" s="730">
        <f t="shared" si="11"/>
        <v>216930</v>
      </c>
      <c r="I346" s="361"/>
      <c r="J346" s="361"/>
      <c r="K346" s="361"/>
      <c r="L346" s="361"/>
    </row>
    <row r="347" spans="2:12" ht="15" thickBot="1" x14ac:dyDescent="0.25">
      <c r="B347" s="16"/>
      <c r="C347" s="353" t="s">
        <v>609</v>
      </c>
      <c r="D347" s="355">
        <f t="shared" si="10"/>
        <v>216930</v>
      </c>
      <c r="E347" s="751">
        <v>220000</v>
      </c>
      <c r="F347" s="69"/>
      <c r="G347" s="355">
        <v>211863.40184944757</v>
      </c>
      <c r="H347" s="730">
        <f t="shared" si="11"/>
        <v>216930</v>
      </c>
      <c r="I347" s="361"/>
      <c r="J347" s="361"/>
      <c r="K347" s="361"/>
      <c r="L347" s="361"/>
    </row>
    <row r="348" spans="2:12" ht="15" thickBot="1" x14ac:dyDescent="0.25">
      <c r="B348" s="16"/>
      <c r="C348" s="353" t="s">
        <v>610</v>
      </c>
      <c r="D348" s="355">
        <f t="shared" si="10"/>
        <v>214580</v>
      </c>
      <c r="E348" s="751">
        <v>220000</v>
      </c>
      <c r="F348" s="69"/>
      <c r="G348" s="355">
        <v>209565.58478722585</v>
      </c>
      <c r="H348" s="730">
        <f t="shared" si="11"/>
        <v>214580</v>
      </c>
      <c r="I348" s="361"/>
      <c r="J348" s="361"/>
      <c r="K348" s="361"/>
      <c r="L348" s="361"/>
    </row>
    <row r="349" spans="2:12" ht="15" thickBot="1" x14ac:dyDescent="0.25">
      <c r="B349" s="16"/>
      <c r="C349" s="353" t="s">
        <v>611</v>
      </c>
      <c r="D349" s="355">
        <f t="shared" si="10"/>
        <v>212540</v>
      </c>
      <c r="E349" s="751">
        <v>220000</v>
      </c>
      <c r="F349" s="69"/>
      <c r="G349" s="355">
        <v>207575.28221173934</v>
      </c>
      <c r="H349" s="730">
        <f t="shared" si="11"/>
        <v>212540</v>
      </c>
      <c r="I349" s="361"/>
      <c r="J349" s="361"/>
      <c r="K349" s="361"/>
      <c r="L349" s="361"/>
    </row>
    <row r="350" spans="2:12" ht="15" thickBot="1" x14ac:dyDescent="0.25">
      <c r="B350" s="16"/>
      <c r="C350" s="353" t="s">
        <v>612</v>
      </c>
      <c r="D350" s="355">
        <f t="shared" si="10"/>
        <v>219900</v>
      </c>
      <c r="E350" s="751">
        <v>220000</v>
      </c>
      <c r="F350" s="69"/>
      <c r="G350" s="355">
        <v>214761.01155849418</v>
      </c>
      <c r="H350" s="730">
        <f t="shared" si="11"/>
        <v>219900</v>
      </c>
      <c r="I350" s="361"/>
      <c r="J350" s="361"/>
      <c r="K350" s="361"/>
      <c r="L350" s="361"/>
    </row>
    <row r="351" spans="2:12" ht="15" thickBot="1" x14ac:dyDescent="0.25">
      <c r="B351" s="16"/>
      <c r="C351" s="353" t="s">
        <v>613</v>
      </c>
      <c r="D351" s="355">
        <f t="shared" si="10"/>
        <v>219840</v>
      </c>
      <c r="E351" s="751">
        <v>220000</v>
      </c>
      <c r="F351" s="69"/>
      <c r="G351" s="355">
        <v>214710.48039920192</v>
      </c>
      <c r="H351" s="730">
        <f t="shared" si="11"/>
        <v>219840</v>
      </c>
      <c r="I351" s="361"/>
      <c r="J351" s="361"/>
      <c r="K351" s="361"/>
      <c r="L351" s="361"/>
    </row>
    <row r="352" spans="2:12" ht="15" thickBot="1" x14ac:dyDescent="0.25">
      <c r="B352" s="16"/>
      <c r="C352" s="353" t="s">
        <v>614</v>
      </c>
      <c r="D352" s="355">
        <f t="shared" si="10"/>
        <v>220330</v>
      </c>
      <c r="E352" s="751">
        <v>220000</v>
      </c>
      <c r="F352" s="69"/>
      <c r="G352" s="355">
        <v>215190.33503766404</v>
      </c>
      <c r="H352" s="730">
        <f t="shared" si="11"/>
        <v>220330</v>
      </c>
      <c r="I352" s="361"/>
      <c r="J352" s="361"/>
      <c r="K352" s="361"/>
      <c r="L352" s="361"/>
    </row>
    <row r="353" spans="2:12" ht="15" thickBot="1" x14ac:dyDescent="0.25">
      <c r="B353" s="16"/>
      <c r="C353" s="353" t="s">
        <v>615</v>
      </c>
      <c r="D353" s="355">
        <f t="shared" si="10"/>
        <v>220330</v>
      </c>
      <c r="E353" s="751">
        <v>220000</v>
      </c>
      <c r="F353" s="69"/>
      <c r="G353" s="355">
        <v>215190.33503766404</v>
      </c>
      <c r="H353" s="730">
        <f t="shared" si="11"/>
        <v>220330</v>
      </c>
      <c r="I353" s="361"/>
      <c r="J353" s="361"/>
      <c r="K353" s="361"/>
      <c r="L353" s="361"/>
    </row>
    <row r="354" spans="2:12" ht="15" thickBot="1" x14ac:dyDescent="0.25">
      <c r="B354" s="16"/>
      <c r="C354" s="353" t="s">
        <v>616</v>
      </c>
      <c r="D354" s="355">
        <f t="shared" si="10"/>
        <v>219840</v>
      </c>
      <c r="E354" s="751">
        <v>220000</v>
      </c>
      <c r="F354" s="69"/>
      <c r="G354" s="355">
        <v>214710.48039920192</v>
      </c>
      <c r="H354" s="730">
        <f t="shared" si="11"/>
        <v>219840</v>
      </c>
      <c r="I354" s="361"/>
      <c r="J354" s="361"/>
      <c r="K354" s="361"/>
      <c r="L354" s="361"/>
    </row>
    <row r="355" spans="2:12" ht="15" thickBot="1" x14ac:dyDescent="0.25">
      <c r="B355" s="16"/>
      <c r="C355" s="353" t="s">
        <v>617</v>
      </c>
      <c r="D355" s="355">
        <f t="shared" si="10"/>
        <v>221980</v>
      </c>
      <c r="E355" s="751">
        <v>220000</v>
      </c>
      <c r="F355" s="69"/>
      <c r="G355" s="355">
        <v>216798.84155849417</v>
      </c>
      <c r="H355" s="730">
        <f t="shared" si="11"/>
        <v>221980</v>
      </c>
      <c r="I355" s="361"/>
      <c r="J355" s="361"/>
      <c r="K355" s="361"/>
      <c r="L355" s="361"/>
    </row>
    <row r="356" spans="2:12" ht="15" thickBot="1" x14ac:dyDescent="0.25">
      <c r="B356" s="16"/>
      <c r="C356" s="353" t="s">
        <v>618</v>
      </c>
      <c r="D356" s="355">
        <f t="shared" si="10"/>
        <v>214620</v>
      </c>
      <c r="E356" s="751">
        <v>220000</v>
      </c>
      <c r="F356" s="69"/>
      <c r="G356" s="355">
        <v>209613.11221173935</v>
      </c>
      <c r="H356" s="730">
        <f t="shared" si="11"/>
        <v>214620</v>
      </c>
      <c r="I356" s="361"/>
      <c r="J356" s="361"/>
      <c r="K356" s="361"/>
      <c r="L356" s="361"/>
    </row>
    <row r="357" spans="2:12" ht="15" thickBot="1" x14ac:dyDescent="0.25">
      <c r="B357" s="16"/>
      <c r="C357" s="353" t="s">
        <v>619</v>
      </c>
      <c r="D357" s="355">
        <f t="shared" si="10"/>
        <v>214580</v>
      </c>
      <c r="E357" s="751">
        <v>220000</v>
      </c>
      <c r="F357" s="69"/>
      <c r="G357" s="355">
        <v>209565.58478722585</v>
      </c>
      <c r="H357" s="730">
        <f t="shared" si="11"/>
        <v>214580</v>
      </c>
      <c r="I357" s="361"/>
      <c r="J357" s="361"/>
      <c r="K357" s="361"/>
      <c r="L357" s="361"/>
    </row>
    <row r="358" spans="2:12" ht="15" thickBot="1" x14ac:dyDescent="0.25">
      <c r="B358" s="16"/>
      <c r="C358" s="353" t="s">
        <v>620</v>
      </c>
      <c r="D358" s="355">
        <f t="shared" si="10"/>
        <v>216930</v>
      </c>
      <c r="E358" s="751">
        <v>220000</v>
      </c>
      <c r="F358" s="69"/>
      <c r="G358" s="355">
        <v>211863.40184944757</v>
      </c>
      <c r="H358" s="730">
        <f t="shared" si="11"/>
        <v>216930</v>
      </c>
      <c r="I358" s="361"/>
      <c r="J358" s="361"/>
      <c r="K358" s="361"/>
      <c r="L358" s="361"/>
    </row>
    <row r="359" spans="2:12" ht="15" thickBot="1" x14ac:dyDescent="0.25">
      <c r="B359" s="16"/>
      <c r="C359" s="353" t="s">
        <v>621</v>
      </c>
      <c r="D359" s="355">
        <f t="shared" si="10"/>
        <v>216930</v>
      </c>
      <c r="E359" s="751">
        <v>220000</v>
      </c>
      <c r="F359" s="69"/>
      <c r="G359" s="355">
        <v>211863.40184944757</v>
      </c>
      <c r="H359" s="730">
        <f t="shared" si="11"/>
        <v>216930</v>
      </c>
      <c r="I359" s="361"/>
      <c r="J359" s="361"/>
      <c r="K359" s="361"/>
      <c r="L359" s="361"/>
    </row>
    <row r="360" spans="2:12" ht="15" thickBot="1" x14ac:dyDescent="0.25">
      <c r="B360" s="16"/>
      <c r="C360" s="353" t="s">
        <v>622</v>
      </c>
      <c r="D360" s="355">
        <f t="shared" si="10"/>
        <v>214580</v>
      </c>
      <c r="E360" s="751">
        <v>220000</v>
      </c>
      <c r="F360" s="69"/>
      <c r="G360" s="355">
        <v>209565.58478722585</v>
      </c>
      <c r="H360" s="730">
        <f t="shared" si="11"/>
        <v>214580</v>
      </c>
      <c r="I360" s="361"/>
      <c r="J360" s="361"/>
      <c r="K360" s="361"/>
      <c r="L360" s="361"/>
    </row>
    <row r="361" spans="2:12" ht="15" thickBot="1" x14ac:dyDescent="0.25">
      <c r="B361" s="16"/>
      <c r="C361" s="353" t="s">
        <v>623</v>
      </c>
      <c r="D361" s="355">
        <f t="shared" si="10"/>
        <v>214620</v>
      </c>
      <c r="E361" s="751">
        <v>220000</v>
      </c>
      <c r="F361" s="69"/>
      <c r="G361" s="355">
        <v>209613.11221173935</v>
      </c>
      <c r="H361" s="730">
        <f t="shared" si="11"/>
        <v>214620</v>
      </c>
      <c r="I361" s="361"/>
      <c r="J361" s="361"/>
      <c r="K361" s="361"/>
      <c r="L361" s="361"/>
    </row>
    <row r="362" spans="2:12" ht="15" thickBot="1" x14ac:dyDescent="0.25">
      <c r="B362" s="16"/>
      <c r="C362" s="353" t="s">
        <v>624</v>
      </c>
      <c r="D362" s="355">
        <f t="shared" si="10"/>
        <v>221980</v>
      </c>
      <c r="E362" s="751">
        <v>220000</v>
      </c>
      <c r="F362" s="69"/>
      <c r="G362" s="355">
        <v>216798.84155849417</v>
      </c>
      <c r="H362" s="730">
        <f t="shared" si="11"/>
        <v>221980</v>
      </c>
      <c r="I362" s="361"/>
      <c r="J362" s="361"/>
      <c r="K362" s="361"/>
      <c r="L362" s="361"/>
    </row>
    <row r="363" spans="2:12" ht="15" thickBot="1" x14ac:dyDescent="0.25">
      <c r="B363" s="16"/>
      <c r="C363" s="353" t="s">
        <v>625</v>
      </c>
      <c r="D363" s="355">
        <f t="shared" si="10"/>
        <v>221930</v>
      </c>
      <c r="E363" s="751">
        <v>220000</v>
      </c>
      <c r="F363" s="69"/>
      <c r="G363" s="355">
        <v>216748.31039920193</v>
      </c>
      <c r="H363" s="730">
        <f t="shared" si="11"/>
        <v>221930</v>
      </c>
      <c r="I363" s="361"/>
      <c r="J363" s="361"/>
      <c r="K363" s="361"/>
      <c r="L363" s="361"/>
    </row>
    <row r="364" spans="2:12" ht="15" thickBot="1" x14ac:dyDescent="0.25">
      <c r="B364" s="16"/>
      <c r="C364" s="353" t="s">
        <v>626</v>
      </c>
      <c r="D364" s="355">
        <f t="shared" si="10"/>
        <v>220330</v>
      </c>
      <c r="E364" s="751">
        <v>220000</v>
      </c>
      <c r="F364" s="69"/>
      <c r="G364" s="355">
        <v>215190.33503766404</v>
      </c>
      <c r="H364" s="730">
        <f t="shared" si="11"/>
        <v>220330</v>
      </c>
      <c r="I364" s="361"/>
      <c r="J364" s="361"/>
      <c r="K364" s="361"/>
      <c r="L364" s="361"/>
    </row>
    <row r="365" spans="2:12" ht="15" thickBot="1" x14ac:dyDescent="0.25">
      <c r="B365" s="16"/>
      <c r="C365" s="353" t="s">
        <v>627</v>
      </c>
      <c r="D365" s="355">
        <f t="shared" si="10"/>
        <v>222420</v>
      </c>
      <c r="E365" s="751">
        <v>220000</v>
      </c>
      <c r="F365" s="69"/>
      <c r="G365" s="355">
        <v>217228.16503766406</v>
      </c>
      <c r="H365" s="730">
        <f t="shared" si="11"/>
        <v>222420</v>
      </c>
      <c r="I365" s="361"/>
      <c r="J365" s="361"/>
      <c r="K365" s="361"/>
      <c r="L365" s="361"/>
    </row>
    <row r="366" spans="2:12" ht="15" thickBot="1" x14ac:dyDescent="0.25">
      <c r="B366" s="16"/>
      <c r="C366" s="353" t="s">
        <v>628</v>
      </c>
      <c r="D366" s="355">
        <f t="shared" si="10"/>
        <v>248770</v>
      </c>
      <c r="E366" s="751">
        <v>240000</v>
      </c>
      <c r="F366" s="69"/>
      <c r="G366" s="355">
        <v>242963.5259114427</v>
      </c>
      <c r="H366" s="730">
        <f t="shared" si="11"/>
        <v>248770</v>
      </c>
      <c r="I366" s="361"/>
      <c r="J366" s="361"/>
      <c r="K366" s="361"/>
      <c r="L366" s="361"/>
    </row>
    <row r="367" spans="2:12" ht="15" thickBot="1" x14ac:dyDescent="0.25">
      <c r="B367" s="16"/>
      <c r="C367" s="353" t="s">
        <v>629</v>
      </c>
      <c r="D367" s="355">
        <v>248795</v>
      </c>
      <c r="E367" s="751">
        <v>240000</v>
      </c>
      <c r="F367" s="69"/>
      <c r="G367" s="355">
        <v>243014.57110726199</v>
      </c>
      <c r="H367" s="730">
        <f t="shared" si="11"/>
        <v>248795</v>
      </c>
      <c r="I367" s="361"/>
      <c r="J367" s="361"/>
      <c r="K367" s="361"/>
      <c r="L367" s="361"/>
    </row>
    <row r="368" spans="2:12" ht="15" thickBot="1" x14ac:dyDescent="0.25">
      <c r="B368" s="16"/>
      <c r="C368" s="353" t="s">
        <v>630</v>
      </c>
      <c r="D368" s="355">
        <f t="shared" si="10"/>
        <v>241440</v>
      </c>
      <c r="E368" s="751">
        <v>223000</v>
      </c>
      <c r="F368" s="69"/>
      <c r="G368" s="355">
        <v>235804.87477404415</v>
      </c>
      <c r="H368" s="730">
        <f t="shared" si="11"/>
        <v>241440</v>
      </c>
      <c r="I368" s="361"/>
      <c r="J368" s="361"/>
      <c r="K368" s="361"/>
      <c r="L368" s="361"/>
    </row>
    <row r="369" spans="2:12" ht="15" thickBot="1" x14ac:dyDescent="0.25">
      <c r="B369" s="16"/>
      <c r="C369" s="353" t="s">
        <v>631</v>
      </c>
      <c r="D369" s="355">
        <f t="shared" si="10"/>
        <v>241390</v>
      </c>
      <c r="E369" s="751">
        <v>223000</v>
      </c>
      <c r="F369" s="69"/>
      <c r="G369" s="355">
        <v>235756.85093409946</v>
      </c>
      <c r="H369" s="730">
        <f t="shared" si="11"/>
        <v>241390</v>
      </c>
      <c r="I369" s="361"/>
      <c r="J369" s="361"/>
      <c r="K369" s="361"/>
      <c r="L369" s="361"/>
    </row>
    <row r="370" spans="2:12" ht="15" thickBot="1" x14ac:dyDescent="0.25">
      <c r="B370" s="16"/>
      <c r="C370" s="353" t="s">
        <v>632</v>
      </c>
      <c r="D370" s="355">
        <f t="shared" si="10"/>
        <v>243750</v>
      </c>
      <c r="E370" s="751">
        <v>226000</v>
      </c>
      <c r="F370" s="69"/>
      <c r="G370" s="355">
        <v>238058.27129765906</v>
      </c>
      <c r="H370" s="730">
        <f t="shared" si="11"/>
        <v>243750</v>
      </c>
      <c r="I370" s="361"/>
      <c r="J370" s="361"/>
      <c r="K370" s="361"/>
      <c r="L370" s="361"/>
    </row>
    <row r="371" spans="2:12" ht="15" thickBot="1" x14ac:dyDescent="0.25">
      <c r="B371" s="16"/>
      <c r="C371" s="353" t="s">
        <v>633</v>
      </c>
      <c r="D371" s="355">
        <f t="shared" si="10"/>
        <v>243750</v>
      </c>
      <c r="E371" s="751">
        <v>226000</v>
      </c>
      <c r="F371" s="69"/>
      <c r="G371" s="355">
        <v>238058.26129765905</v>
      </c>
      <c r="H371" s="730">
        <f t="shared" si="11"/>
        <v>243750</v>
      </c>
      <c r="I371" s="361"/>
      <c r="J371" s="361"/>
      <c r="K371" s="361"/>
      <c r="L371" s="361"/>
    </row>
    <row r="372" spans="2:12" ht="15" thickBot="1" x14ac:dyDescent="0.25">
      <c r="B372" s="16"/>
      <c r="C372" s="353" t="s">
        <v>634</v>
      </c>
      <c r="D372" s="355">
        <f t="shared" si="10"/>
        <v>241390</v>
      </c>
      <c r="E372" s="751">
        <v>223000</v>
      </c>
      <c r="F372" s="69"/>
      <c r="G372" s="355">
        <v>235756.85093409946</v>
      </c>
      <c r="H372" s="730">
        <f t="shared" si="11"/>
        <v>241390</v>
      </c>
      <c r="I372" s="361"/>
      <c r="J372" s="361"/>
      <c r="K372" s="361"/>
      <c r="L372" s="361"/>
    </row>
    <row r="373" spans="2:12" ht="15" thickBot="1" x14ac:dyDescent="0.25">
      <c r="B373" s="16"/>
      <c r="C373" s="353" t="s">
        <v>635</v>
      </c>
      <c r="D373" s="355">
        <f t="shared" si="10"/>
        <v>241440</v>
      </c>
      <c r="E373" s="751">
        <v>223000</v>
      </c>
      <c r="F373" s="69"/>
      <c r="G373" s="355">
        <v>235804.87477404415</v>
      </c>
      <c r="H373" s="730">
        <f t="shared" si="11"/>
        <v>241440</v>
      </c>
      <c r="I373" s="361"/>
      <c r="J373" s="361"/>
      <c r="K373" s="361"/>
      <c r="L373" s="361"/>
    </row>
    <row r="374" spans="2:12" ht="15" thickBot="1" x14ac:dyDescent="0.25">
      <c r="B374" s="16"/>
      <c r="C374" s="353" t="s">
        <v>636</v>
      </c>
      <c r="D374" s="355">
        <v>248795</v>
      </c>
      <c r="E374" s="751">
        <v>240000</v>
      </c>
      <c r="F374" s="69"/>
      <c r="G374" s="355">
        <v>243014.57110726199</v>
      </c>
      <c r="H374" s="730">
        <f t="shared" si="11"/>
        <v>248795</v>
      </c>
      <c r="I374" s="361"/>
      <c r="J374" s="361"/>
      <c r="K374" s="361"/>
      <c r="L374" s="361"/>
    </row>
    <row r="375" spans="2:12" ht="15" thickBot="1" x14ac:dyDescent="0.25">
      <c r="B375" s="16"/>
      <c r="C375" s="353" t="s">
        <v>637</v>
      </c>
      <c r="D375" s="355">
        <f t="shared" si="10"/>
        <v>246690</v>
      </c>
      <c r="E375" s="751">
        <v>240000</v>
      </c>
      <c r="F375" s="69"/>
      <c r="G375" s="355">
        <v>240925.69591144272</v>
      </c>
      <c r="H375" s="730">
        <f t="shared" si="11"/>
        <v>246690</v>
      </c>
      <c r="I375" s="361"/>
      <c r="J375" s="361"/>
      <c r="K375" s="361"/>
      <c r="L375" s="361"/>
    </row>
    <row r="376" spans="2:12" ht="15" thickBot="1" x14ac:dyDescent="0.25">
      <c r="B376" s="16"/>
      <c r="C376" s="353" t="s">
        <v>638</v>
      </c>
      <c r="D376" s="355">
        <v>248795</v>
      </c>
      <c r="E376" s="751">
        <v>240000</v>
      </c>
      <c r="F376" s="69"/>
      <c r="G376" s="355">
        <v>243458.37638989705</v>
      </c>
      <c r="H376" s="730">
        <f t="shared" si="11"/>
        <v>248795</v>
      </c>
      <c r="I376" s="361"/>
      <c r="J376" s="361"/>
      <c r="K376" s="361"/>
      <c r="L376" s="361"/>
    </row>
    <row r="377" spans="2:12" ht="15" thickBot="1" x14ac:dyDescent="0.25">
      <c r="B377" s="16"/>
      <c r="C377" s="353" t="s">
        <v>639</v>
      </c>
      <c r="D377" s="355">
        <f t="shared" si="10"/>
        <v>247190</v>
      </c>
      <c r="E377" s="751">
        <v>240000</v>
      </c>
      <c r="F377" s="69"/>
      <c r="G377" s="355">
        <v>241420.54638989706</v>
      </c>
      <c r="H377" s="730">
        <f t="shared" si="11"/>
        <v>247190</v>
      </c>
      <c r="I377" s="361"/>
      <c r="J377" s="361"/>
      <c r="K377" s="361"/>
      <c r="L377" s="361"/>
    </row>
    <row r="378" spans="2:12" ht="15" thickBot="1" x14ac:dyDescent="0.25">
      <c r="B378" s="16"/>
      <c r="C378" s="353" t="s">
        <v>640</v>
      </c>
      <c r="D378" s="355">
        <f t="shared" si="10"/>
        <v>248770</v>
      </c>
      <c r="E378" s="751">
        <v>240000</v>
      </c>
      <c r="F378" s="69"/>
      <c r="G378" s="355">
        <v>242963.5259114427</v>
      </c>
      <c r="H378" s="730">
        <f t="shared" si="11"/>
        <v>248770</v>
      </c>
      <c r="I378" s="361"/>
      <c r="J378" s="361"/>
      <c r="K378" s="361"/>
      <c r="L378" s="361"/>
    </row>
    <row r="379" spans="2:12" ht="15" thickBot="1" x14ac:dyDescent="0.25">
      <c r="B379" s="16"/>
      <c r="C379" s="353" t="s">
        <v>641</v>
      </c>
      <c r="D379" s="355">
        <v>248795</v>
      </c>
      <c r="E379" s="751">
        <v>240000</v>
      </c>
      <c r="F379" s="69"/>
      <c r="G379" s="355">
        <v>243014.57110726199</v>
      </c>
      <c r="H379" s="730">
        <f t="shared" si="11"/>
        <v>248795</v>
      </c>
      <c r="I379" s="361"/>
      <c r="J379" s="361"/>
      <c r="K379" s="361"/>
      <c r="L379" s="361"/>
    </row>
    <row r="380" spans="2:12" ht="15" thickBot="1" x14ac:dyDescent="0.25">
      <c r="B380" s="16"/>
      <c r="C380" s="353" t="s">
        <v>642</v>
      </c>
      <c r="D380" s="355">
        <f t="shared" si="10"/>
        <v>241440</v>
      </c>
      <c r="E380" s="751">
        <v>223000</v>
      </c>
      <c r="F380" s="69"/>
      <c r="G380" s="355">
        <v>235804.87477404415</v>
      </c>
      <c r="H380" s="730">
        <f t="shared" si="11"/>
        <v>241440</v>
      </c>
      <c r="I380" s="361"/>
      <c r="J380" s="361"/>
      <c r="K380" s="361"/>
      <c r="L380" s="361"/>
    </row>
    <row r="381" spans="2:12" ht="15" thickBot="1" x14ac:dyDescent="0.25">
      <c r="B381" s="16"/>
      <c r="C381" s="353" t="s">
        <v>643</v>
      </c>
      <c r="D381" s="355">
        <f t="shared" si="10"/>
        <v>241390</v>
      </c>
      <c r="E381" s="751">
        <v>223000</v>
      </c>
      <c r="F381" s="69"/>
      <c r="G381" s="355">
        <v>235756.85093409946</v>
      </c>
      <c r="H381" s="730">
        <f t="shared" si="11"/>
        <v>241390</v>
      </c>
      <c r="I381" s="361"/>
      <c r="J381" s="361"/>
      <c r="K381" s="361"/>
      <c r="L381" s="361"/>
    </row>
    <row r="382" spans="2:12" ht="15" thickBot="1" x14ac:dyDescent="0.25">
      <c r="B382" s="16"/>
      <c r="C382" s="353" t="s">
        <v>644</v>
      </c>
      <c r="D382" s="355">
        <f t="shared" si="10"/>
        <v>241660</v>
      </c>
      <c r="E382" s="751">
        <v>226000</v>
      </c>
      <c r="F382" s="69"/>
      <c r="G382" s="355">
        <v>236020.45129765905</v>
      </c>
      <c r="H382" s="730">
        <f t="shared" si="11"/>
        <v>241660</v>
      </c>
      <c r="I382" s="361"/>
      <c r="J382" s="361"/>
      <c r="K382" s="361"/>
      <c r="L382" s="361"/>
    </row>
    <row r="383" spans="2:12" ht="15" thickBot="1" x14ac:dyDescent="0.25">
      <c r="B383" s="16"/>
      <c r="C383" s="353" t="s">
        <v>645</v>
      </c>
      <c r="D383" s="355">
        <f t="shared" si="10"/>
        <v>243750</v>
      </c>
      <c r="E383" s="751">
        <v>226000</v>
      </c>
      <c r="F383" s="69"/>
      <c r="G383" s="355">
        <v>238058.26129765905</v>
      </c>
      <c r="H383" s="730">
        <f t="shared" si="11"/>
        <v>243750</v>
      </c>
      <c r="I383" s="361"/>
      <c r="J383" s="361"/>
      <c r="K383" s="361"/>
      <c r="L383" s="361"/>
    </row>
    <row r="384" spans="2:12" ht="15" thickBot="1" x14ac:dyDescent="0.25">
      <c r="B384" s="16"/>
      <c r="C384" s="353" t="s">
        <v>646</v>
      </c>
      <c r="D384" s="355">
        <f t="shared" si="10"/>
        <v>241390</v>
      </c>
      <c r="E384" s="751">
        <v>223000</v>
      </c>
      <c r="F384" s="69"/>
      <c r="G384" s="355">
        <v>235756.83093409945</v>
      </c>
      <c r="H384" s="730">
        <f t="shared" si="11"/>
        <v>241390</v>
      </c>
      <c r="I384" s="361"/>
      <c r="J384" s="361"/>
      <c r="K384" s="361"/>
      <c r="L384" s="361"/>
    </row>
    <row r="385" spans="2:12" ht="15" thickBot="1" x14ac:dyDescent="0.25">
      <c r="B385" s="16"/>
      <c r="C385" s="353" t="s">
        <v>647</v>
      </c>
      <c r="D385" s="355">
        <f t="shared" si="10"/>
        <v>241440</v>
      </c>
      <c r="E385" s="751">
        <v>223000</v>
      </c>
      <c r="F385" s="69"/>
      <c r="G385" s="355">
        <v>235804.87477404415</v>
      </c>
      <c r="H385" s="730">
        <f t="shared" si="11"/>
        <v>241440</v>
      </c>
      <c r="I385" s="361"/>
      <c r="J385" s="361"/>
      <c r="K385" s="361"/>
      <c r="L385" s="361"/>
    </row>
    <row r="386" spans="2:12" ht="15" thickBot="1" x14ac:dyDescent="0.25">
      <c r="B386" s="16"/>
      <c r="C386" s="353" t="s">
        <v>648</v>
      </c>
      <c r="D386" s="355">
        <v>248795</v>
      </c>
      <c r="E386" s="751">
        <v>240000</v>
      </c>
      <c r="F386" s="69"/>
      <c r="G386" s="355">
        <v>243014.57110726199</v>
      </c>
      <c r="H386" s="730">
        <f t="shared" si="11"/>
        <v>248795</v>
      </c>
      <c r="I386" s="361"/>
      <c r="J386" s="361"/>
      <c r="K386" s="361"/>
      <c r="L386" s="361"/>
    </row>
    <row r="387" spans="2:12" ht="15" thickBot="1" x14ac:dyDescent="0.25">
      <c r="B387" s="16"/>
      <c r="C387" s="353" t="s">
        <v>649</v>
      </c>
      <c r="D387" s="355">
        <f t="shared" si="10"/>
        <v>246690</v>
      </c>
      <c r="E387" s="751">
        <v>240000</v>
      </c>
      <c r="F387" s="69"/>
      <c r="G387" s="355">
        <v>240925.69591144272</v>
      </c>
      <c r="H387" s="730">
        <f t="shared" si="11"/>
        <v>246690</v>
      </c>
      <c r="I387" s="361"/>
      <c r="J387" s="361"/>
      <c r="K387" s="361"/>
      <c r="L387" s="361"/>
    </row>
    <row r="388" spans="2:12" ht="15" thickBot="1" x14ac:dyDescent="0.25">
      <c r="B388" s="16"/>
      <c r="C388" s="353" t="s">
        <v>650</v>
      </c>
      <c r="D388" s="355">
        <f t="shared" si="10"/>
        <v>247190</v>
      </c>
      <c r="E388" s="751">
        <v>240000</v>
      </c>
      <c r="F388" s="69"/>
      <c r="G388" s="355">
        <v>241420.54638989706</v>
      </c>
      <c r="H388" s="730">
        <f t="shared" si="11"/>
        <v>247190</v>
      </c>
      <c r="I388" s="361"/>
      <c r="J388" s="361"/>
      <c r="K388" s="361"/>
      <c r="L388" s="361"/>
    </row>
    <row r="389" spans="2:12" ht="15" thickBot="1" x14ac:dyDescent="0.25">
      <c r="B389" s="16"/>
      <c r="C389" s="353" t="s">
        <v>651</v>
      </c>
      <c r="D389" s="355">
        <f t="shared" si="10"/>
        <v>247190</v>
      </c>
      <c r="E389" s="751">
        <v>240000</v>
      </c>
      <c r="F389" s="69"/>
      <c r="G389" s="355">
        <v>241420.54638989706</v>
      </c>
      <c r="H389" s="730">
        <f t="shared" si="11"/>
        <v>247190</v>
      </c>
      <c r="I389" s="361"/>
      <c r="J389" s="361"/>
      <c r="K389" s="361"/>
      <c r="L389" s="361"/>
    </row>
    <row r="390" spans="2:12" ht="15" thickBot="1" x14ac:dyDescent="0.25">
      <c r="B390" s="16"/>
      <c r="C390" s="353" t="s">
        <v>652</v>
      </c>
      <c r="D390" s="355">
        <v>248795</v>
      </c>
      <c r="E390" s="751">
        <v>240000</v>
      </c>
      <c r="F390" s="69"/>
      <c r="G390" s="355">
        <v>244188.26142368358</v>
      </c>
      <c r="H390" s="730">
        <f t="shared" si="11"/>
        <v>248795</v>
      </c>
      <c r="I390" s="361"/>
      <c r="J390" s="361"/>
      <c r="K390" s="361"/>
      <c r="L390" s="361"/>
    </row>
    <row r="391" spans="2:12" ht="15" thickBot="1" x14ac:dyDescent="0.25">
      <c r="B391" s="16"/>
      <c r="C391" s="353" t="s">
        <v>653</v>
      </c>
      <c r="D391" s="355">
        <f t="shared" si="10"/>
        <v>247990</v>
      </c>
      <c r="E391" s="751">
        <v>240000</v>
      </c>
      <c r="F391" s="69"/>
      <c r="G391" s="355">
        <v>242202.00065602982</v>
      </c>
      <c r="H391" s="730">
        <f t="shared" si="11"/>
        <v>247990</v>
      </c>
      <c r="I391" s="361"/>
      <c r="J391" s="361"/>
      <c r="K391" s="361"/>
      <c r="L391" s="361"/>
    </row>
    <row r="392" spans="2:12" ht="15" thickBot="1" x14ac:dyDescent="0.25">
      <c r="B392" s="16"/>
      <c r="C392" s="353" t="s">
        <v>654</v>
      </c>
      <c r="D392" s="355">
        <f t="shared" si="10"/>
        <v>242650</v>
      </c>
      <c r="E392" s="751">
        <v>223000</v>
      </c>
      <c r="F392" s="69"/>
      <c r="G392" s="355">
        <v>236986.17733634889</v>
      </c>
      <c r="H392" s="730">
        <f t="shared" si="11"/>
        <v>242650</v>
      </c>
      <c r="I392" s="361"/>
      <c r="J392" s="361"/>
      <c r="K392" s="361"/>
      <c r="L392" s="361"/>
    </row>
    <row r="393" spans="2:12" ht="15" thickBot="1" x14ac:dyDescent="0.25">
      <c r="B393" s="16"/>
      <c r="C393" s="353" t="s">
        <v>655</v>
      </c>
      <c r="D393" s="355">
        <f t="shared" ref="D393:D456" si="12">ROUND((G393*$J$1),-1)</f>
        <v>242600</v>
      </c>
      <c r="E393" s="751">
        <v>223000</v>
      </c>
      <c r="F393" s="69"/>
      <c r="G393" s="355">
        <v>236937.65708097309</v>
      </c>
      <c r="H393" s="730">
        <f t="shared" si="11"/>
        <v>242600</v>
      </c>
      <c r="I393" s="361"/>
      <c r="J393" s="361"/>
      <c r="K393" s="361"/>
      <c r="L393" s="361"/>
    </row>
    <row r="394" spans="2:12" ht="15" thickBot="1" x14ac:dyDescent="0.25">
      <c r="B394" s="16"/>
      <c r="C394" s="353" t="s">
        <v>656</v>
      </c>
      <c r="D394" s="355">
        <f t="shared" si="12"/>
        <v>244970</v>
      </c>
      <c r="E394" s="751">
        <v>226000</v>
      </c>
      <c r="F394" s="69"/>
      <c r="G394" s="355">
        <v>239252.7007458705</v>
      </c>
      <c r="H394" s="730">
        <f t="shared" ref="H394:H457" si="13">D394</f>
        <v>244970</v>
      </c>
      <c r="I394" s="361"/>
      <c r="J394" s="361"/>
      <c r="K394" s="361"/>
      <c r="L394" s="361"/>
    </row>
    <row r="395" spans="2:12" ht="15" thickBot="1" x14ac:dyDescent="0.25">
      <c r="B395" s="16"/>
      <c r="C395" s="353" t="s">
        <v>657</v>
      </c>
      <c r="D395" s="355">
        <f t="shared" si="12"/>
        <v>244970</v>
      </c>
      <c r="E395" s="751">
        <v>226000</v>
      </c>
      <c r="F395" s="69"/>
      <c r="G395" s="355">
        <v>239252.7007458705</v>
      </c>
      <c r="H395" s="730">
        <f t="shared" si="13"/>
        <v>244970</v>
      </c>
      <c r="I395" s="361"/>
      <c r="J395" s="361"/>
      <c r="K395" s="361"/>
      <c r="L395" s="361"/>
    </row>
    <row r="396" spans="2:12" ht="15" thickBot="1" x14ac:dyDescent="0.25">
      <c r="B396" s="16"/>
      <c r="C396" s="353" t="s">
        <v>658</v>
      </c>
      <c r="D396" s="355">
        <f t="shared" si="12"/>
        <v>242600</v>
      </c>
      <c r="E396" s="751">
        <v>223000</v>
      </c>
      <c r="F396" s="69"/>
      <c r="G396" s="355">
        <v>236937.65708097309</v>
      </c>
      <c r="H396" s="730">
        <f t="shared" si="13"/>
        <v>242600</v>
      </c>
      <c r="I396" s="361"/>
      <c r="J396" s="361"/>
      <c r="K396" s="361"/>
      <c r="L396" s="361"/>
    </row>
    <row r="397" spans="2:12" ht="15" thickBot="1" x14ac:dyDescent="0.25">
      <c r="B397" s="16"/>
      <c r="C397" s="353" t="s">
        <v>659</v>
      </c>
      <c r="D397" s="355">
        <f t="shared" si="12"/>
        <v>242650</v>
      </c>
      <c r="E397" s="751">
        <v>223000</v>
      </c>
      <c r="F397" s="69"/>
      <c r="G397" s="355">
        <v>236986.17733634889</v>
      </c>
      <c r="H397" s="730">
        <f t="shared" si="13"/>
        <v>242650</v>
      </c>
      <c r="I397" s="361"/>
      <c r="J397" s="361"/>
      <c r="K397" s="361"/>
      <c r="L397" s="361"/>
    </row>
    <row r="398" spans="2:12" ht="15" thickBot="1" x14ac:dyDescent="0.25">
      <c r="B398" s="16"/>
      <c r="C398" s="353" t="s">
        <v>660</v>
      </c>
      <c r="D398" s="355">
        <f t="shared" si="12"/>
        <v>247990</v>
      </c>
      <c r="E398" s="751">
        <v>240000</v>
      </c>
      <c r="F398" s="69"/>
      <c r="G398" s="355">
        <v>242202.00065602982</v>
      </c>
      <c r="H398" s="730">
        <f t="shared" si="13"/>
        <v>247990</v>
      </c>
      <c r="I398" s="361"/>
      <c r="J398" s="361"/>
      <c r="K398" s="361"/>
      <c r="L398" s="361"/>
    </row>
    <row r="399" spans="2:12" ht="15" thickBot="1" x14ac:dyDescent="0.25">
      <c r="B399" s="16"/>
      <c r="C399" s="353" t="s">
        <v>661</v>
      </c>
      <c r="D399" s="355">
        <v>248795</v>
      </c>
      <c r="E399" s="751">
        <v>240000</v>
      </c>
      <c r="F399" s="69"/>
      <c r="G399" s="355">
        <v>244188.26142368358</v>
      </c>
      <c r="H399" s="730">
        <f t="shared" si="13"/>
        <v>248795</v>
      </c>
      <c r="I399" s="361"/>
      <c r="J399" s="361"/>
      <c r="K399" s="361"/>
      <c r="L399" s="361"/>
    </row>
    <row r="400" spans="2:12" ht="15" thickBot="1" x14ac:dyDescent="0.25">
      <c r="B400" s="16"/>
      <c r="C400" s="353" t="s">
        <v>662</v>
      </c>
      <c r="D400" s="355">
        <v>248795</v>
      </c>
      <c r="E400" s="751">
        <v>240000</v>
      </c>
      <c r="F400" s="69"/>
      <c r="G400" s="355">
        <v>244753.11774213004</v>
      </c>
      <c r="H400" s="730">
        <f t="shared" si="13"/>
        <v>248795</v>
      </c>
      <c r="I400" s="361"/>
      <c r="J400" s="361"/>
      <c r="K400" s="361"/>
      <c r="L400" s="361"/>
    </row>
    <row r="401" spans="2:12" ht="15" thickBot="1" x14ac:dyDescent="0.25">
      <c r="B401" s="16"/>
      <c r="C401" s="353" t="s">
        <v>663</v>
      </c>
      <c r="D401" s="355">
        <v>248795</v>
      </c>
      <c r="E401" s="751">
        <v>240000</v>
      </c>
      <c r="F401" s="69"/>
      <c r="G401" s="355">
        <v>242715.28774213005</v>
      </c>
      <c r="H401" s="730">
        <f t="shared" si="13"/>
        <v>248795</v>
      </c>
      <c r="I401" s="361"/>
      <c r="J401" s="361"/>
      <c r="K401" s="361"/>
      <c r="L401" s="361"/>
    </row>
    <row r="402" spans="2:12" ht="15" thickBot="1" x14ac:dyDescent="0.25">
      <c r="B402" s="16"/>
      <c r="C402" s="353" t="s">
        <v>664</v>
      </c>
      <c r="D402" s="355">
        <v>248795</v>
      </c>
      <c r="E402" s="751">
        <v>240000</v>
      </c>
      <c r="F402" s="69"/>
      <c r="G402" s="355">
        <v>244188.26142368358</v>
      </c>
      <c r="H402" s="730">
        <f t="shared" si="13"/>
        <v>248795</v>
      </c>
      <c r="I402" s="361"/>
      <c r="J402" s="361"/>
      <c r="K402" s="361"/>
      <c r="L402" s="361"/>
    </row>
    <row r="403" spans="2:12" ht="15" thickBot="1" x14ac:dyDescent="0.25">
      <c r="B403" s="16"/>
      <c r="C403" s="353" t="s">
        <v>665</v>
      </c>
      <c r="D403" s="355">
        <f t="shared" si="12"/>
        <v>247990</v>
      </c>
      <c r="E403" s="751">
        <v>240000</v>
      </c>
      <c r="F403" s="69"/>
      <c r="G403" s="355">
        <v>242202.00065602982</v>
      </c>
      <c r="H403" s="730">
        <f t="shared" si="13"/>
        <v>247990</v>
      </c>
      <c r="I403" s="361"/>
      <c r="J403" s="361"/>
      <c r="K403" s="361"/>
      <c r="L403" s="361"/>
    </row>
    <row r="404" spans="2:12" ht="15" thickBot="1" x14ac:dyDescent="0.25">
      <c r="B404" s="16"/>
      <c r="C404" s="353" t="s">
        <v>666</v>
      </c>
      <c r="D404" s="355">
        <f t="shared" si="12"/>
        <v>242650</v>
      </c>
      <c r="E404" s="751">
        <v>223000</v>
      </c>
      <c r="F404" s="69"/>
      <c r="G404" s="355">
        <v>236986.17733634889</v>
      </c>
      <c r="H404" s="730">
        <f t="shared" si="13"/>
        <v>242650</v>
      </c>
      <c r="I404" s="361"/>
      <c r="J404" s="361"/>
      <c r="K404" s="361"/>
      <c r="L404" s="361"/>
    </row>
    <row r="405" spans="2:12" ht="15" thickBot="1" x14ac:dyDescent="0.25">
      <c r="B405" s="16"/>
      <c r="C405" s="353" t="s">
        <v>667</v>
      </c>
      <c r="D405" s="355">
        <f t="shared" si="12"/>
        <v>242600</v>
      </c>
      <c r="E405" s="751">
        <v>223000</v>
      </c>
      <c r="F405" s="69"/>
      <c r="G405" s="355">
        <v>236937.65708097309</v>
      </c>
      <c r="H405" s="730">
        <f t="shared" si="13"/>
        <v>242600</v>
      </c>
      <c r="I405" s="361"/>
      <c r="J405" s="361"/>
      <c r="K405" s="361"/>
      <c r="L405" s="361"/>
    </row>
    <row r="406" spans="2:12" ht="15" thickBot="1" x14ac:dyDescent="0.25">
      <c r="B406" s="16"/>
      <c r="C406" s="353" t="s">
        <v>668</v>
      </c>
      <c r="D406" s="355">
        <f t="shared" si="12"/>
        <v>244970</v>
      </c>
      <c r="E406" s="751">
        <v>226000</v>
      </c>
      <c r="F406" s="69"/>
      <c r="G406" s="355">
        <v>239252.7007458705</v>
      </c>
      <c r="H406" s="730">
        <f t="shared" si="13"/>
        <v>244970</v>
      </c>
      <c r="I406" s="361"/>
      <c r="J406" s="361"/>
      <c r="K406" s="361"/>
      <c r="L406" s="361"/>
    </row>
    <row r="407" spans="2:12" ht="15" thickBot="1" x14ac:dyDescent="0.25">
      <c r="B407" s="16"/>
      <c r="C407" s="353" t="s">
        <v>669</v>
      </c>
      <c r="D407" s="355">
        <f t="shared" si="12"/>
        <v>244970</v>
      </c>
      <c r="E407" s="751">
        <v>226000</v>
      </c>
      <c r="F407" s="69"/>
      <c r="G407" s="355">
        <v>239252.7007458705</v>
      </c>
      <c r="H407" s="730">
        <f t="shared" si="13"/>
        <v>244970</v>
      </c>
      <c r="I407" s="361"/>
      <c r="J407" s="361"/>
      <c r="K407" s="361"/>
      <c r="L407" s="361"/>
    </row>
    <row r="408" spans="2:12" ht="15" thickBot="1" x14ac:dyDescent="0.25">
      <c r="B408" s="16"/>
      <c r="C408" s="353" t="s">
        <v>670</v>
      </c>
      <c r="D408" s="355">
        <f t="shared" si="12"/>
        <v>242600</v>
      </c>
      <c r="E408" s="751">
        <v>223000</v>
      </c>
      <c r="F408" s="69"/>
      <c r="G408" s="355">
        <v>236937.65708097309</v>
      </c>
      <c r="H408" s="730">
        <f t="shared" si="13"/>
        <v>242600</v>
      </c>
      <c r="I408" s="361"/>
      <c r="J408" s="361"/>
      <c r="K408" s="361"/>
      <c r="L408" s="361"/>
    </row>
    <row r="409" spans="2:12" ht="15" thickBot="1" x14ac:dyDescent="0.25">
      <c r="B409" s="16"/>
      <c r="C409" s="353" t="s">
        <v>671</v>
      </c>
      <c r="D409" s="355">
        <f t="shared" si="12"/>
        <v>242650</v>
      </c>
      <c r="E409" s="751">
        <v>223000</v>
      </c>
      <c r="F409" s="69"/>
      <c r="G409" s="355">
        <v>236986.17733634889</v>
      </c>
      <c r="H409" s="730">
        <f t="shared" si="13"/>
        <v>242650</v>
      </c>
      <c r="I409" s="361"/>
      <c r="J409" s="361"/>
      <c r="K409" s="361"/>
      <c r="L409" s="361"/>
    </row>
    <row r="410" spans="2:12" ht="15" thickBot="1" x14ac:dyDescent="0.25">
      <c r="B410" s="16"/>
      <c r="C410" s="353" t="s">
        <v>672</v>
      </c>
      <c r="D410" s="355">
        <v>248795</v>
      </c>
      <c r="E410" s="751">
        <v>240000</v>
      </c>
      <c r="F410" s="69"/>
      <c r="G410" s="355">
        <v>244239.83065602981</v>
      </c>
      <c r="H410" s="730">
        <f t="shared" si="13"/>
        <v>248795</v>
      </c>
      <c r="I410" s="361"/>
      <c r="J410" s="361"/>
      <c r="K410" s="361"/>
      <c r="L410" s="361"/>
    </row>
    <row r="411" spans="2:12" ht="15" thickBot="1" x14ac:dyDescent="0.25">
      <c r="B411" s="16"/>
      <c r="C411" s="353" t="s">
        <v>673</v>
      </c>
      <c r="D411" s="355">
        <v>248795</v>
      </c>
      <c r="E411" s="751">
        <v>240000</v>
      </c>
      <c r="F411" s="69"/>
      <c r="G411" s="355">
        <v>244188.26142368358</v>
      </c>
      <c r="H411" s="730">
        <f t="shared" si="13"/>
        <v>248795</v>
      </c>
      <c r="I411" s="361"/>
      <c r="J411" s="361"/>
      <c r="K411" s="361"/>
      <c r="L411" s="361"/>
    </row>
    <row r="412" spans="2:12" ht="15" thickBot="1" x14ac:dyDescent="0.25">
      <c r="B412" s="16"/>
      <c r="C412" s="353" t="s">
        <v>674</v>
      </c>
      <c r="D412" s="355">
        <v>248795</v>
      </c>
      <c r="E412" s="751">
        <v>240000</v>
      </c>
      <c r="F412" s="69"/>
      <c r="G412" s="355">
        <v>242715.28774213005</v>
      </c>
      <c r="H412" s="730">
        <f t="shared" si="13"/>
        <v>248795</v>
      </c>
      <c r="I412" s="361"/>
      <c r="J412" s="361"/>
      <c r="K412" s="361"/>
      <c r="L412" s="361"/>
    </row>
    <row r="413" spans="2:12" ht="15" thickBot="1" x14ac:dyDescent="0.25">
      <c r="B413" s="16"/>
      <c r="C413" s="353" t="s">
        <v>675</v>
      </c>
      <c r="D413" s="355">
        <v>248795</v>
      </c>
      <c r="E413" s="751">
        <v>240000</v>
      </c>
      <c r="F413" s="69"/>
      <c r="G413" s="355">
        <v>242715.28774213005</v>
      </c>
      <c r="H413" s="730">
        <f t="shared" si="13"/>
        <v>248795</v>
      </c>
      <c r="I413" s="361"/>
      <c r="J413" s="361"/>
      <c r="K413" s="361"/>
      <c r="L413" s="361"/>
    </row>
    <row r="414" spans="2:12" ht="15" thickBot="1" x14ac:dyDescent="0.25">
      <c r="B414" s="16"/>
      <c r="C414" s="353" t="s">
        <v>676</v>
      </c>
      <c r="D414" s="355">
        <v>248795</v>
      </c>
      <c r="E414" s="751">
        <v>240000</v>
      </c>
      <c r="F414" s="69"/>
      <c r="G414" s="355">
        <v>244190.19693592435</v>
      </c>
      <c r="H414" s="730">
        <f t="shared" si="13"/>
        <v>248795</v>
      </c>
      <c r="I414" s="361"/>
      <c r="J414" s="361"/>
      <c r="K414" s="361"/>
      <c r="L414" s="361"/>
    </row>
    <row r="415" spans="2:12" ht="15" thickBot="1" x14ac:dyDescent="0.25">
      <c r="B415" s="16"/>
      <c r="C415" s="353" t="s">
        <v>677</v>
      </c>
      <c r="D415" s="355">
        <v>248795</v>
      </c>
      <c r="E415" s="751">
        <v>240000</v>
      </c>
      <c r="F415" s="69"/>
      <c r="G415" s="355">
        <v>244292.26020479767</v>
      </c>
      <c r="H415" s="730">
        <f t="shared" si="13"/>
        <v>248795</v>
      </c>
      <c r="I415" s="361"/>
      <c r="J415" s="361"/>
      <c r="K415" s="361"/>
      <c r="L415" s="361"/>
    </row>
    <row r="416" spans="2:12" ht="15" thickBot="1" x14ac:dyDescent="0.25">
      <c r="B416" s="16"/>
      <c r="C416" s="353" t="s">
        <v>678</v>
      </c>
      <c r="D416" s="355">
        <f t="shared" si="12"/>
        <v>243860</v>
      </c>
      <c r="E416" s="751">
        <v>223000</v>
      </c>
      <c r="F416" s="69"/>
      <c r="G416" s="355">
        <v>238167.47989865369</v>
      </c>
      <c r="H416" s="730">
        <f t="shared" si="13"/>
        <v>243860</v>
      </c>
      <c r="I416" s="361"/>
      <c r="J416" s="361"/>
      <c r="K416" s="361"/>
      <c r="L416" s="361"/>
    </row>
    <row r="417" spans="2:12" ht="15" thickBot="1" x14ac:dyDescent="0.25">
      <c r="B417" s="16"/>
      <c r="C417" s="353" t="s">
        <v>679</v>
      </c>
      <c r="D417" s="355">
        <f t="shared" si="12"/>
        <v>243810</v>
      </c>
      <c r="E417" s="751">
        <v>223000</v>
      </c>
      <c r="F417" s="69"/>
      <c r="G417" s="355">
        <v>238118.46322784666</v>
      </c>
      <c r="H417" s="730">
        <f t="shared" si="13"/>
        <v>243810</v>
      </c>
      <c r="I417" s="361"/>
      <c r="J417" s="361"/>
      <c r="K417" s="361"/>
      <c r="L417" s="361"/>
    </row>
    <row r="418" spans="2:12" ht="15" thickBot="1" x14ac:dyDescent="0.25">
      <c r="B418" s="16"/>
      <c r="C418" s="353" t="s">
        <v>680</v>
      </c>
      <c r="D418" s="355">
        <f t="shared" si="12"/>
        <v>246200</v>
      </c>
      <c r="E418" s="751">
        <v>226000</v>
      </c>
      <c r="F418" s="69"/>
      <c r="G418" s="355">
        <v>240447.12019408197</v>
      </c>
      <c r="H418" s="730">
        <f t="shared" si="13"/>
        <v>246200</v>
      </c>
      <c r="I418" s="361"/>
      <c r="J418" s="361"/>
      <c r="K418" s="361"/>
      <c r="L418" s="361"/>
    </row>
    <row r="419" spans="2:12" ht="15" thickBot="1" x14ac:dyDescent="0.25">
      <c r="B419" s="16"/>
      <c r="C419" s="353" t="s">
        <v>681</v>
      </c>
      <c r="D419" s="355">
        <f t="shared" si="12"/>
        <v>246200</v>
      </c>
      <c r="E419" s="751">
        <v>226000</v>
      </c>
      <c r="F419" s="69"/>
      <c r="G419" s="355">
        <v>240447.12019408197</v>
      </c>
      <c r="H419" s="730">
        <f t="shared" si="13"/>
        <v>246200</v>
      </c>
      <c r="I419" s="361"/>
      <c r="J419" s="361"/>
      <c r="K419" s="361"/>
      <c r="L419" s="361"/>
    </row>
    <row r="420" spans="2:12" ht="15" thickBot="1" x14ac:dyDescent="0.25">
      <c r="B420" s="16"/>
      <c r="C420" s="353" t="s">
        <v>682</v>
      </c>
      <c r="D420" s="355">
        <f t="shared" si="12"/>
        <v>243810</v>
      </c>
      <c r="E420" s="751">
        <v>223000</v>
      </c>
      <c r="F420" s="69"/>
      <c r="G420" s="355">
        <v>238118.46322784666</v>
      </c>
      <c r="H420" s="730">
        <f t="shared" si="13"/>
        <v>243810</v>
      </c>
      <c r="I420" s="361"/>
      <c r="J420" s="361"/>
      <c r="K420" s="361"/>
      <c r="L420" s="361"/>
    </row>
    <row r="421" spans="2:12" ht="15" thickBot="1" x14ac:dyDescent="0.25">
      <c r="B421" s="16"/>
      <c r="C421" s="353" t="s">
        <v>683</v>
      </c>
      <c r="D421" s="355">
        <f t="shared" si="12"/>
        <v>243860</v>
      </c>
      <c r="E421" s="751">
        <v>223000</v>
      </c>
      <c r="F421" s="69"/>
      <c r="G421" s="355">
        <v>238167.47989865369</v>
      </c>
      <c r="H421" s="730">
        <f t="shared" si="13"/>
        <v>243860</v>
      </c>
      <c r="I421" s="361"/>
      <c r="J421" s="361"/>
      <c r="K421" s="361"/>
      <c r="L421" s="361"/>
    </row>
    <row r="422" spans="2:12" ht="15" thickBot="1" x14ac:dyDescent="0.25">
      <c r="B422" s="16"/>
      <c r="C422" s="353" t="s">
        <v>684</v>
      </c>
      <c r="D422" s="355">
        <v>248795</v>
      </c>
      <c r="E422" s="751">
        <v>240000</v>
      </c>
      <c r="F422" s="69"/>
      <c r="G422" s="355">
        <v>246330.09020479766</v>
      </c>
      <c r="H422" s="730">
        <f t="shared" si="13"/>
        <v>248795</v>
      </c>
      <c r="I422" s="361"/>
      <c r="J422" s="361"/>
      <c r="K422" s="361"/>
      <c r="L422" s="361"/>
    </row>
    <row r="423" spans="2:12" ht="15" thickBot="1" x14ac:dyDescent="0.25">
      <c r="B423" s="16"/>
      <c r="C423" s="353" t="s">
        <v>685</v>
      </c>
      <c r="D423" s="355">
        <v>248795</v>
      </c>
      <c r="E423" s="751">
        <v>240000</v>
      </c>
      <c r="F423" s="69"/>
      <c r="G423" s="355">
        <v>244190.19693592435</v>
      </c>
      <c r="H423" s="730">
        <f t="shared" si="13"/>
        <v>248795</v>
      </c>
      <c r="I423" s="361"/>
      <c r="J423" s="361"/>
      <c r="K423" s="361"/>
      <c r="L423" s="361"/>
    </row>
    <row r="424" spans="2:12" ht="15" thickBot="1" x14ac:dyDescent="0.25">
      <c r="B424" s="16"/>
      <c r="C424" s="353" t="s">
        <v>686</v>
      </c>
      <c r="D424" s="355">
        <v>248795</v>
      </c>
      <c r="E424" s="751">
        <v>240000</v>
      </c>
      <c r="F424" s="69"/>
      <c r="G424" s="355">
        <v>247222.86909436301</v>
      </c>
      <c r="H424" s="730">
        <f t="shared" si="13"/>
        <v>248795</v>
      </c>
      <c r="I424" s="361"/>
      <c r="J424" s="361"/>
      <c r="K424" s="361"/>
      <c r="L424" s="361"/>
    </row>
    <row r="425" spans="2:12" ht="15" thickBot="1" x14ac:dyDescent="0.25">
      <c r="B425" s="16"/>
      <c r="C425" s="353" t="s">
        <v>687</v>
      </c>
      <c r="D425" s="355">
        <v>248795</v>
      </c>
      <c r="E425" s="751">
        <v>240000</v>
      </c>
      <c r="F425" s="69"/>
      <c r="G425" s="355">
        <v>247222.86909436301</v>
      </c>
      <c r="H425" s="730">
        <f t="shared" si="13"/>
        <v>248795</v>
      </c>
      <c r="I425" s="361"/>
      <c r="J425" s="361"/>
      <c r="K425" s="361"/>
      <c r="L425" s="361"/>
    </row>
    <row r="426" spans="2:12" ht="15" thickBot="1" x14ac:dyDescent="0.25">
      <c r="B426" s="16"/>
      <c r="C426" s="353" t="s">
        <v>688</v>
      </c>
      <c r="D426" s="355">
        <v>248795</v>
      </c>
      <c r="E426" s="751">
        <v>240000</v>
      </c>
      <c r="F426" s="69"/>
      <c r="G426" s="355">
        <v>244190.19693592435</v>
      </c>
      <c r="H426" s="730">
        <f t="shared" si="13"/>
        <v>248795</v>
      </c>
      <c r="I426" s="361"/>
      <c r="J426" s="361"/>
      <c r="K426" s="361"/>
      <c r="L426" s="361"/>
    </row>
    <row r="427" spans="2:12" ht="15" thickBot="1" x14ac:dyDescent="0.25">
      <c r="B427" s="16"/>
      <c r="C427" s="353" t="s">
        <v>689</v>
      </c>
      <c r="D427" s="355">
        <v>248795</v>
      </c>
      <c r="E427" s="751">
        <v>240000</v>
      </c>
      <c r="F427" s="69"/>
      <c r="G427" s="355">
        <v>244292.26020479767</v>
      </c>
      <c r="H427" s="730">
        <f t="shared" si="13"/>
        <v>248795</v>
      </c>
      <c r="I427" s="361"/>
      <c r="J427" s="361"/>
      <c r="K427" s="361"/>
      <c r="L427" s="361"/>
    </row>
    <row r="428" spans="2:12" ht="15" thickBot="1" x14ac:dyDescent="0.25">
      <c r="B428" s="16"/>
      <c r="C428" s="353" t="s">
        <v>690</v>
      </c>
      <c r="D428" s="355">
        <f t="shared" si="12"/>
        <v>243860</v>
      </c>
      <c r="E428" s="751">
        <v>223000</v>
      </c>
      <c r="F428" s="69"/>
      <c r="G428" s="355">
        <v>238167.47989865369</v>
      </c>
      <c r="H428" s="730">
        <f t="shared" si="13"/>
        <v>243860</v>
      </c>
      <c r="I428" s="361"/>
      <c r="J428" s="361"/>
      <c r="K428" s="361"/>
      <c r="L428" s="361"/>
    </row>
    <row r="429" spans="2:12" ht="15" thickBot="1" x14ac:dyDescent="0.25">
      <c r="B429" s="16"/>
      <c r="C429" s="353" t="s">
        <v>691</v>
      </c>
      <c r="D429" s="355">
        <f t="shared" si="12"/>
        <v>243810</v>
      </c>
      <c r="E429" s="751">
        <v>223000</v>
      </c>
      <c r="F429" s="69"/>
      <c r="G429" s="355">
        <v>238118.46322784666</v>
      </c>
      <c r="H429" s="730">
        <f t="shared" si="13"/>
        <v>243810</v>
      </c>
      <c r="I429" s="361"/>
      <c r="J429" s="361"/>
      <c r="K429" s="361"/>
      <c r="L429" s="361"/>
    </row>
    <row r="430" spans="2:12" ht="15" thickBot="1" x14ac:dyDescent="0.25">
      <c r="B430" s="16"/>
      <c r="C430" s="353" t="s">
        <v>692</v>
      </c>
      <c r="D430" s="355">
        <f t="shared" si="12"/>
        <v>246200</v>
      </c>
      <c r="E430" s="751">
        <v>226000</v>
      </c>
      <c r="F430" s="69"/>
      <c r="G430" s="355">
        <v>240447.12019408197</v>
      </c>
      <c r="H430" s="730">
        <f t="shared" si="13"/>
        <v>246200</v>
      </c>
      <c r="I430" s="361"/>
      <c r="J430" s="361"/>
      <c r="K430" s="361"/>
      <c r="L430" s="361"/>
    </row>
    <row r="431" spans="2:12" ht="15" thickBot="1" x14ac:dyDescent="0.25">
      <c r="B431" s="16"/>
      <c r="C431" s="353" t="s">
        <v>693</v>
      </c>
      <c r="D431" s="355">
        <f t="shared" si="12"/>
        <v>246200</v>
      </c>
      <c r="E431" s="751">
        <v>226000</v>
      </c>
      <c r="F431" s="69"/>
      <c r="G431" s="355">
        <v>240447.12019408197</v>
      </c>
      <c r="H431" s="730">
        <f t="shared" si="13"/>
        <v>246200</v>
      </c>
      <c r="I431" s="361"/>
      <c r="J431" s="361"/>
      <c r="K431" s="361"/>
      <c r="L431" s="361"/>
    </row>
    <row r="432" spans="2:12" ht="15" thickBot="1" x14ac:dyDescent="0.25">
      <c r="B432" s="16"/>
      <c r="C432" s="353" t="s">
        <v>694</v>
      </c>
      <c r="D432" s="355">
        <f t="shared" si="12"/>
        <v>243810</v>
      </c>
      <c r="E432" s="751">
        <v>223000</v>
      </c>
      <c r="F432" s="69"/>
      <c r="G432" s="355">
        <v>238118.46322784666</v>
      </c>
      <c r="H432" s="730">
        <f t="shared" si="13"/>
        <v>243810</v>
      </c>
      <c r="I432" s="361"/>
      <c r="J432" s="361"/>
      <c r="K432" s="361"/>
      <c r="L432" s="361"/>
    </row>
    <row r="433" spans="2:12" ht="15" thickBot="1" x14ac:dyDescent="0.25">
      <c r="B433" s="16"/>
      <c r="C433" s="353" t="s">
        <v>695</v>
      </c>
      <c r="D433" s="355">
        <f t="shared" si="12"/>
        <v>243860</v>
      </c>
      <c r="E433" s="751">
        <v>223000</v>
      </c>
      <c r="F433" s="69"/>
      <c r="G433" s="355">
        <v>238167.47989865369</v>
      </c>
      <c r="H433" s="730">
        <f t="shared" si="13"/>
        <v>243860</v>
      </c>
      <c r="I433" s="361"/>
      <c r="J433" s="361"/>
      <c r="K433" s="361"/>
      <c r="L433" s="361"/>
    </row>
    <row r="434" spans="2:12" ht="15" thickBot="1" x14ac:dyDescent="0.25">
      <c r="B434" s="16"/>
      <c r="C434" s="353" t="s">
        <v>696</v>
      </c>
      <c r="D434" s="355">
        <v>248795</v>
      </c>
      <c r="E434" s="751">
        <v>240000</v>
      </c>
      <c r="F434" s="69"/>
      <c r="G434" s="355">
        <v>246330.09020479766</v>
      </c>
      <c r="H434" s="730">
        <f t="shared" si="13"/>
        <v>248795</v>
      </c>
      <c r="I434" s="361"/>
      <c r="J434" s="361"/>
      <c r="K434" s="361"/>
      <c r="L434" s="361"/>
    </row>
    <row r="435" spans="2:12" ht="15" thickBot="1" x14ac:dyDescent="0.25">
      <c r="B435" s="16"/>
      <c r="C435" s="353" t="s">
        <v>697</v>
      </c>
      <c r="D435" s="355">
        <v>248795</v>
      </c>
      <c r="E435" s="751">
        <v>240000</v>
      </c>
      <c r="F435" s="69"/>
      <c r="G435" s="355">
        <v>246228.02693592437</v>
      </c>
      <c r="H435" s="730">
        <f t="shared" si="13"/>
        <v>248795</v>
      </c>
      <c r="I435" s="361"/>
      <c r="J435" s="361"/>
      <c r="K435" s="361"/>
      <c r="L435" s="361"/>
    </row>
    <row r="436" spans="2:12" ht="15" thickBot="1" x14ac:dyDescent="0.25">
      <c r="B436" s="16"/>
      <c r="C436" s="353" t="s">
        <v>698</v>
      </c>
      <c r="D436" s="355">
        <v>248795</v>
      </c>
      <c r="E436" s="751">
        <v>240000</v>
      </c>
      <c r="F436" s="69"/>
      <c r="G436" s="355">
        <v>245185.03909436302</v>
      </c>
      <c r="H436" s="730">
        <f t="shared" si="13"/>
        <v>248795</v>
      </c>
      <c r="I436" s="361"/>
      <c r="J436" s="361"/>
      <c r="K436" s="361"/>
      <c r="L436" s="361"/>
    </row>
    <row r="437" spans="2:12" ht="15" thickBot="1" x14ac:dyDescent="0.25">
      <c r="B437" s="16"/>
      <c r="C437" s="353" t="s">
        <v>699</v>
      </c>
      <c r="D437" s="355">
        <v>248795</v>
      </c>
      <c r="E437" s="751">
        <v>240000</v>
      </c>
      <c r="F437" s="69"/>
      <c r="G437" s="355">
        <v>247222.86909436301</v>
      </c>
      <c r="H437" s="730">
        <f t="shared" si="13"/>
        <v>248795</v>
      </c>
      <c r="I437" s="361"/>
      <c r="J437" s="361"/>
      <c r="K437" s="361"/>
      <c r="L437" s="361"/>
    </row>
    <row r="438" spans="2:12" ht="15" thickBot="1" x14ac:dyDescent="0.25">
      <c r="B438" s="16"/>
      <c r="C438" s="353" t="s">
        <v>700</v>
      </c>
      <c r="D438" s="355">
        <v>248795</v>
      </c>
      <c r="E438" s="751">
        <v>240000</v>
      </c>
      <c r="F438" s="69"/>
      <c r="G438" s="355">
        <v>246654.9324481652</v>
      </c>
      <c r="H438" s="730">
        <f t="shared" si="13"/>
        <v>248795</v>
      </c>
      <c r="I438" s="361"/>
      <c r="J438" s="361"/>
      <c r="K438" s="361"/>
      <c r="L438" s="361"/>
    </row>
    <row r="439" spans="2:12" ht="15" thickBot="1" x14ac:dyDescent="0.25">
      <c r="B439" s="16"/>
      <c r="C439" s="353" t="s">
        <v>701</v>
      </c>
      <c r="D439" s="355">
        <v>248795</v>
      </c>
      <c r="E439" s="751">
        <v>240000</v>
      </c>
      <c r="F439" s="69"/>
      <c r="G439" s="355">
        <v>248795.34975356548</v>
      </c>
      <c r="H439" s="730">
        <f t="shared" si="13"/>
        <v>248795</v>
      </c>
      <c r="I439" s="361"/>
      <c r="J439" s="361"/>
      <c r="K439" s="361"/>
      <c r="L439" s="361"/>
    </row>
    <row r="440" spans="2:12" ht="15" thickBot="1" x14ac:dyDescent="0.25">
      <c r="B440" s="16"/>
      <c r="C440" s="353" t="s">
        <v>702</v>
      </c>
      <c r="D440" s="355">
        <f t="shared" si="12"/>
        <v>245080</v>
      </c>
      <c r="E440" s="751">
        <v>223000</v>
      </c>
      <c r="F440" s="69"/>
      <c r="G440" s="355">
        <v>239358.77246095851</v>
      </c>
      <c r="H440" s="730">
        <f t="shared" si="13"/>
        <v>245080</v>
      </c>
      <c r="I440" s="361"/>
      <c r="J440" s="361"/>
      <c r="K440" s="361"/>
      <c r="L440" s="361"/>
    </row>
    <row r="441" spans="2:12" ht="15" thickBot="1" x14ac:dyDescent="0.25">
      <c r="B441" s="16"/>
      <c r="C441" s="353" t="s">
        <v>703</v>
      </c>
      <c r="D441" s="355">
        <f t="shared" si="12"/>
        <v>245030</v>
      </c>
      <c r="E441" s="751">
        <v>223000</v>
      </c>
      <c r="F441" s="69"/>
      <c r="G441" s="355">
        <v>239309.26937472029</v>
      </c>
      <c r="H441" s="730">
        <f t="shared" si="13"/>
        <v>245030</v>
      </c>
      <c r="I441" s="361"/>
      <c r="J441" s="361"/>
      <c r="K441" s="361"/>
      <c r="L441" s="361"/>
    </row>
    <row r="442" spans="2:12" ht="15" thickBot="1" x14ac:dyDescent="0.25">
      <c r="B442" s="16"/>
      <c r="C442" s="353" t="s">
        <v>704</v>
      </c>
      <c r="D442" s="355">
        <f t="shared" si="12"/>
        <v>247420</v>
      </c>
      <c r="E442" s="751">
        <v>226000</v>
      </c>
      <c r="F442" s="69"/>
      <c r="G442" s="355">
        <v>241641.53964229341</v>
      </c>
      <c r="H442" s="730">
        <f t="shared" si="13"/>
        <v>247420</v>
      </c>
      <c r="I442" s="361"/>
      <c r="J442" s="361"/>
      <c r="K442" s="361"/>
      <c r="L442" s="361"/>
    </row>
    <row r="443" spans="2:12" ht="15" thickBot="1" x14ac:dyDescent="0.25">
      <c r="B443" s="16"/>
      <c r="C443" s="353" t="s">
        <v>705</v>
      </c>
      <c r="D443" s="355">
        <f t="shared" si="12"/>
        <v>247420</v>
      </c>
      <c r="E443" s="751">
        <v>226000</v>
      </c>
      <c r="F443" s="69"/>
      <c r="G443" s="355">
        <v>241641.53964229341</v>
      </c>
      <c r="H443" s="730">
        <f t="shared" si="13"/>
        <v>247420</v>
      </c>
      <c r="I443" s="361"/>
      <c r="J443" s="361"/>
      <c r="K443" s="361"/>
      <c r="L443" s="361"/>
    </row>
    <row r="444" spans="2:12" ht="15" thickBot="1" x14ac:dyDescent="0.25">
      <c r="B444" s="16"/>
      <c r="C444" s="353" t="s">
        <v>706</v>
      </c>
      <c r="D444" s="355">
        <f t="shared" si="12"/>
        <v>245030</v>
      </c>
      <c r="E444" s="751">
        <v>223000</v>
      </c>
      <c r="F444" s="69"/>
      <c r="G444" s="355">
        <v>239309.26937472029</v>
      </c>
      <c r="H444" s="730">
        <f t="shared" si="13"/>
        <v>245030</v>
      </c>
      <c r="I444" s="361"/>
      <c r="J444" s="361"/>
      <c r="K444" s="361"/>
      <c r="L444" s="361"/>
    </row>
    <row r="445" spans="2:12" ht="15" thickBot="1" x14ac:dyDescent="0.25">
      <c r="B445" s="16"/>
      <c r="C445" s="353" t="s">
        <v>707</v>
      </c>
      <c r="D445" s="355">
        <f t="shared" si="12"/>
        <v>245080</v>
      </c>
      <c r="E445" s="751">
        <v>223000</v>
      </c>
      <c r="F445" s="69"/>
      <c r="G445" s="355">
        <v>239358.77246095851</v>
      </c>
      <c r="H445" s="730">
        <f t="shared" si="13"/>
        <v>245080</v>
      </c>
      <c r="I445" s="361"/>
      <c r="J445" s="361"/>
      <c r="K445" s="361"/>
      <c r="L445" s="361"/>
    </row>
    <row r="446" spans="2:12" ht="15" thickBot="1" x14ac:dyDescent="0.25">
      <c r="B446" s="16"/>
      <c r="C446" s="353" t="s">
        <v>708</v>
      </c>
      <c r="D446" s="355">
        <v>248795</v>
      </c>
      <c r="E446" s="751">
        <v>240000</v>
      </c>
      <c r="F446" s="69"/>
      <c r="G446" s="355">
        <v>248795.34975356548</v>
      </c>
      <c r="H446" s="730">
        <f t="shared" si="13"/>
        <v>248795</v>
      </c>
      <c r="I446" s="361"/>
      <c r="J446" s="361"/>
      <c r="K446" s="361"/>
      <c r="L446" s="361"/>
    </row>
    <row r="447" spans="2:12" ht="15" thickBot="1" x14ac:dyDescent="0.25">
      <c r="B447" s="16"/>
      <c r="C447" s="353" t="s">
        <v>709</v>
      </c>
      <c r="D447" s="355">
        <v>248795</v>
      </c>
      <c r="E447" s="751">
        <v>240000</v>
      </c>
      <c r="F447" s="69"/>
      <c r="G447" s="355">
        <v>248692.76244816522</v>
      </c>
      <c r="H447" s="730">
        <f t="shared" si="13"/>
        <v>248795</v>
      </c>
      <c r="I447" s="361"/>
      <c r="J447" s="361"/>
      <c r="K447" s="361"/>
      <c r="L447" s="361"/>
    </row>
    <row r="448" spans="2:12" ht="15" thickBot="1" x14ac:dyDescent="0.25">
      <c r="B448" s="16"/>
      <c r="C448" s="353" t="s">
        <v>710</v>
      </c>
      <c r="D448" s="355">
        <v>248795</v>
      </c>
      <c r="E448" s="751">
        <v>240000</v>
      </c>
      <c r="F448" s="69"/>
      <c r="G448" s="355">
        <v>249692.61044659599</v>
      </c>
      <c r="H448" s="730">
        <f t="shared" si="13"/>
        <v>248795</v>
      </c>
      <c r="I448" s="361"/>
      <c r="J448" s="361"/>
      <c r="K448" s="361"/>
      <c r="L448" s="361"/>
    </row>
    <row r="449" spans="2:12" ht="15" thickBot="1" x14ac:dyDescent="0.25">
      <c r="B449" s="16"/>
      <c r="C449" s="353" t="s">
        <v>711</v>
      </c>
      <c r="D449" s="355">
        <v>248795</v>
      </c>
      <c r="E449" s="751">
        <v>240000</v>
      </c>
      <c r="F449" s="69"/>
      <c r="G449" s="355">
        <v>247654.79044659599</v>
      </c>
      <c r="H449" s="730">
        <f t="shared" si="13"/>
        <v>248795</v>
      </c>
      <c r="I449" s="361"/>
      <c r="J449" s="361"/>
      <c r="K449" s="361"/>
      <c r="L449" s="361"/>
    </row>
    <row r="450" spans="2:12" ht="15" thickBot="1" x14ac:dyDescent="0.25">
      <c r="B450" s="16"/>
      <c r="C450" s="353" t="s">
        <v>712</v>
      </c>
      <c r="D450" s="355">
        <v>248795</v>
      </c>
      <c r="E450" s="751">
        <v>240000</v>
      </c>
      <c r="F450" s="69"/>
      <c r="G450" s="355">
        <v>248692.76244816522</v>
      </c>
      <c r="H450" s="730">
        <f t="shared" si="13"/>
        <v>248795</v>
      </c>
      <c r="I450" s="361"/>
      <c r="J450" s="361"/>
      <c r="K450" s="361"/>
      <c r="L450" s="361"/>
    </row>
    <row r="451" spans="2:12" ht="15" thickBot="1" x14ac:dyDescent="0.25">
      <c r="B451" s="16"/>
      <c r="C451" s="353" t="s">
        <v>713</v>
      </c>
      <c r="D451" s="355">
        <v>248795</v>
      </c>
      <c r="E451" s="751">
        <v>240000</v>
      </c>
      <c r="F451" s="69"/>
      <c r="G451" s="355">
        <v>246757.51975356546</v>
      </c>
      <c r="H451" s="730">
        <f t="shared" si="13"/>
        <v>248795</v>
      </c>
      <c r="I451" s="361"/>
      <c r="J451" s="361"/>
      <c r="K451" s="361"/>
      <c r="L451" s="361"/>
    </row>
    <row r="452" spans="2:12" ht="15" thickBot="1" x14ac:dyDescent="0.25">
      <c r="B452" s="16"/>
      <c r="C452" s="353" t="s">
        <v>714</v>
      </c>
      <c r="D452" s="355">
        <f t="shared" si="12"/>
        <v>245080</v>
      </c>
      <c r="E452" s="751">
        <v>223000</v>
      </c>
      <c r="F452" s="69"/>
      <c r="G452" s="355">
        <v>239358.77246095851</v>
      </c>
      <c r="H452" s="730">
        <f t="shared" si="13"/>
        <v>245080</v>
      </c>
      <c r="I452" s="361"/>
      <c r="J452" s="361"/>
      <c r="K452" s="361"/>
      <c r="L452" s="361"/>
    </row>
    <row r="453" spans="2:12" ht="15" thickBot="1" x14ac:dyDescent="0.25">
      <c r="B453" s="16"/>
      <c r="C453" s="353" t="s">
        <v>715</v>
      </c>
      <c r="D453" s="355">
        <f t="shared" si="12"/>
        <v>245030</v>
      </c>
      <c r="E453" s="751">
        <v>223000</v>
      </c>
      <c r="F453" s="69"/>
      <c r="G453" s="355">
        <v>239309.26937472029</v>
      </c>
      <c r="H453" s="730">
        <f t="shared" si="13"/>
        <v>245030</v>
      </c>
      <c r="I453" s="361"/>
      <c r="J453" s="361"/>
      <c r="K453" s="361"/>
      <c r="L453" s="361"/>
    </row>
    <row r="454" spans="2:12" ht="15" thickBot="1" x14ac:dyDescent="0.25">
      <c r="B454" s="16"/>
      <c r="C454" s="353" t="s">
        <v>716</v>
      </c>
      <c r="D454" s="355">
        <f t="shared" si="12"/>
        <v>247420</v>
      </c>
      <c r="E454" s="751">
        <v>226000</v>
      </c>
      <c r="F454" s="69"/>
      <c r="G454" s="355">
        <v>241641.53964229341</v>
      </c>
      <c r="H454" s="730">
        <f t="shared" si="13"/>
        <v>247420</v>
      </c>
      <c r="I454" s="361"/>
      <c r="J454" s="361"/>
      <c r="K454" s="361"/>
      <c r="L454" s="361"/>
    </row>
    <row r="455" spans="2:12" ht="15" thickBot="1" x14ac:dyDescent="0.25">
      <c r="B455" s="16"/>
      <c r="C455" s="353" t="s">
        <v>717</v>
      </c>
      <c r="D455" s="355">
        <f t="shared" si="12"/>
        <v>247420</v>
      </c>
      <c r="E455" s="751">
        <v>226000</v>
      </c>
      <c r="F455" s="69"/>
      <c r="G455" s="355">
        <v>241641.53964229341</v>
      </c>
      <c r="H455" s="730">
        <f t="shared" si="13"/>
        <v>247420</v>
      </c>
      <c r="I455" s="361"/>
      <c r="J455" s="361"/>
      <c r="K455" s="361"/>
      <c r="L455" s="361"/>
    </row>
    <row r="456" spans="2:12" ht="15" thickBot="1" x14ac:dyDescent="0.25">
      <c r="B456" s="16"/>
      <c r="C456" s="353" t="s">
        <v>718</v>
      </c>
      <c r="D456" s="355">
        <f t="shared" si="12"/>
        <v>245030</v>
      </c>
      <c r="E456" s="751">
        <v>223000</v>
      </c>
      <c r="F456" s="69"/>
      <c r="G456" s="355">
        <v>239309.26937472029</v>
      </c>
      <c r="H456" s="730">
        <f t="shared" si="13"/>
        <v>245030</v>
      </c>
      <c r="I456" s="361"/>
      <c r="J456" s="361"/>
      <c r="K456" s="361"/>
      <c r="L456" s="361"/>
    </row>
    <row r="457" spans="2:12" ht="15" thickBot="1" x14ac:dyDescent="0.25">
      <c r="B457" s="16"/>
      <c r="C457" s="353" t="s">
        <v>719</v>
      </c>
      <c r="D457" s="355">
        <f t="shared" ref="D457:D469" si="14">ROUND((G457*$J$1),-1)</f>
        <v>245080</v>
      </c>
      <c r="E457" s="751">
        <v>223000</v>
      </c>
      <c r="F457" s="69"/>
      <c r="G457" s="355">
        <v>239358.77246095851</v>
      </c>
      <c r="H457" s="730">
        <f t="shared" si="13"/>
        <v>245080</v>
      </c>
      <c r="I457" s="361"/>
      <c r="J457" s="361"/>
      <c r="K457" s="361"/>
      <c r="L457" s="361"/>
    </row>
    <row r="458" spans="2:12" ht="15" thickBot="1" x14ac:dyDescent="0.25">
      <c r="B458" s="16"/>
      <c r="C458" s="353" t="s">
        <v>720</v>
      </c>
      <c r="D458" s="355">
        <v>248795</v>
      </c>
      <c r="E458" s="751">
        <v>240000</v>
      </c>
      <c r="F458" s="69"/>
      <c r="G458" s="355">
        <v>241329.16975356548</v>
      </c>
      <c r="H458" s="730">
        <f t="shared" ref="H458:H473" si="15">D458</f>
        <v>248795</v>
      </c>
      <c r="I458" s="361"/>
      <c r="J458" s="361"/>
      <c r="K458" s="361"/>
      <c r="L458" s="361"/>
    </row>
    <row r="459" spans="2:12" ht="15" thickBot="1" x14ac:dyDescent="0.25">
      <c r="B459" s="16"/>
      <c r="C459" s="353" t="s">
        <v>721</v>
      </c>
      <c r="D459" s="355">
        <v>248795</v>
      </c>
      <c r="E459" s="751">
        <v>240000</v>
      </c>
      <c r="F459" s="69"/>
      <c r="G459" s="355">
        <v>248692.76244816522</v>
      </c>
      <c r="H459" s="730">
        <f t="shared" si="15"/>
        <v>248795</v>
      </c>
      <c r="I459" s="361"/>
      <c r="J459" s="361"/>
      <c r="K459" s="361"/>
      <c r="L459" s="361"/>
    </row>
    <row r="460" spans="2:12" ht="15" thickBot="1" x14ac:dyDescent="0.25">
      <c r="B460" s="16"/>
      <c r="C460" s="353" t="s">
        <v>722</v>
      </c>
      <c r="D460" s="355">
        <v>248795</v>
      </c>
      <c r="E460" s="751">
        <v>240000</v>
      </c>
      <c r="F460" s="69"/>
      <c r="G460" s="355">
        <v>249692.61044659599</v>
      </c>
      <c r="H460" s="730">
        <f t="shared" si="15"/>
        <v>248795</v>
      </c>
      <c r="I460" s="361"/>
      <c r="J460" s="361"/>
      <c r="K460" s="361"/>
      <c r="L460" s="361"/>
    </row>
    <row r="461" spans="2:12" ht="15" thickBot="1" x14ac:dyDescent="0.25">
      <c r="B461" s="16"/>
      <c r="C461" s="353" t="s">
        <v>723</v>
      </c>
      <c r="D461" s="355">
        <v>248795</v>
      </c>
      <c r="E461" s="751">
        <v>240000</v>
      </c>
      <c r="F461" s="69"/>
      <c r="G461" s="355">
        <v>249692.61044659599</v>
      </c>
      <c r="H461" s="730">
        <f t="shared" si="15"/>
        <v>248795</v>
      </c>
      <c r="I461" s="361"/>
      <c r="J461" s="361"/>
      <c r="K461" s="361"/>
      <c r="L461" s="361"/>
    </row>
    <row r="462" spans="2:12" ht="15" thickBot="1" x14ac:dyDescent="0.25">
      <c r="B462" s="16"/>
      <c r="C462" s="353" t="s">
        <v>724</v>
      </c>
      <c r="D462" s="355">
        <v>248795</v>
      </c>
      <c r="E462" s="751">
        <v>240000</v>
      </c>
      <c r="F462" s="69"/>
      <c r="G462" s="355">
        <v>248692.76244816522</v>
      </c>
      <c r="H462" s="730">
        <f t="shared" si="15"/>
        <v>248795</v>
      </c>
      <c r="I462" s="361"/>
      <c r="J462" s="361"/>
      <c r="K462" s="361"/>
      <c r="L462" s="361"/>
    </row>
    <row r="463" spans="2:12" ht="15" thickBot="1" x14ac:dyDescent="0.25">
      <c r="B463" s="16"/>
      <c r="C463" s="353" t="s">
        <v>725</v>
      </c>
      <c r="D463" s="355">
        <v>248795</v>
      </c>
      <c r="E463" s="751">
        <v>240000</v>
      </c>
      <c r="F463" s="69"/>
      <c r="G463" s="355">
        <v>248795.34975356548</v>
      </c>
      <c r="H463" s="730">
        <f t="shared" si="15"/>
        <v>248795</v>
      </c>
      <c r="I463" s="361"/>
      <c r="J463" s="361"/>
      <c r="K463" s="361"/>
      <c r="L463" s="361"/>
    </row>
    <row r="464" spans="2:12" ht="15" thickBot="1" x14ac:dyDescent="0.25">
      <c r="B464" s="16"/>
      <c r="C464" s="353" t="s">
        <v>726</v>
      </c>
      <c r="D464" s="355">
        <f t="shared" si="14"/>
        <v>245080</v>
      </c>
      <c r="E464" s="751">
        <v>223000</v>
      </c>
      <c r="F464" s="69"/>
      <c r="G464" s="355">
        <v>239358.77246095851</v>
      </c>
      <c r="H464" s="730">
        <f t="shared" si="15"/>
        <v>245080</v>
      </c>
      <c r="I464" s="361"/>
      <c r="J464" s="361"/>
      <c r="K464" s="361"/>
      <c r="L464" s="361"/>
    </row>
    <row r="465" spans="2:12" ht="15" thickBot="1" x14ac:dyDescent="0.25">
      <c r="B465" s="16"/>
      <c r="C465" s="353" t="s">
        <v>727</v>
      </c>
      <c r="D465" s="355">
        <f t="shared" si="14"/>
        <v>245030</v>
      </c>
      <c r="E465" s="751">
        <v>223000</v>
      </c>
      <c r="F465" s="69"/>
      <c r="G465" s="355">
        <v>239309.26937472029</v>
      </c>
      <c r="H465" s="730">
        <f t="shared" si="15"/>
        <v>245030</v>
      </c>
      <c r="I465" s="361"/>
      <c r="J465" s="361"/>
      <c r="K465" s="361"/>
      <c r="L465" s="361"/>
    </row>
    <row r="466" spans="2:12" ht="15" thickBot="1" x14ac:dyDescent="0.25">
      <c r="B466" s="16"/>
      <c r="C466" s="353" t="s">
        <v>728</v>
      </c>
      <c r="D466" s="355">
        <f t="shared" si="14"/>
        <v>247420</v>
      </c>
      <c r="E466" s="751">
        <v>226000</v>
      </c>
      <c r="F466" s="69"/>
      <c r="G466" s="355">
        <v>241641.53964229341</v>
      </c>
      <c r="H466" s="730">
        <f t="shared" si="15"/>
        <v>247420</v>
      </c>
      <c r="I466" s="361"/>
      <c r="J466" s="361"/>
      <c r="K466" s="361"/>
      <c r="L466" s="361"/>
    </row>
    <row r="467" spans="2:12" ht="15" thickBot="1" x14ac:dyDescent="0.25">
      <c r="B467" s="16"/>
      <c r="C467" s="353" t="s">
        <v>729</v>
      </c>
      <c r="D467" s="355">
        <f t="shared" si="14"/>
        <v>247420</v>
      </c>
      <c r="E467" s="751">
        <v>226000</v>
      </c>
      <c r="F467" s="69"/>
      <c r="G467" s="355">
        <v>241641.53964229341</v>
      </c>
      <c r="H467" s="730">
        <f t="shared" si="15"/>
        <v>247420</v>
      </c>
      <c r="I467" s="361"/>
      <c r="J467" s="361"/>
      <c r="K467" s="361"/>
      <c r="L467" s="361"/>
    </row>
    <row r="468" spans="2:12" ht="15" thickBot="1" x14ac:dyDescent="0.25">
      <c r="B468" s="16"/>
      <c r="C468" s="353" t="s">
        <v>730</v>
      </c>
      <c r="D468" s="355">
        <f t="shared" si="14"/>
        <v>245030</v>
      </c>
      <c r="E468" s="751">
        <v>223000</v>
      </c>
      <c r="F468" s="69"/>
      <c r="G468" s="355">
        <v>239309.26937472029</v>
      </c>
      <c r="H468" s="730">
        <f t="shared" si="15"/>
        <v>245030</v>
      </c>
      <c r="I468" s="361"/>
      <c r="J468" s="361"/>
      <c r="K468" s="361"/>
      <c r="L468" s="361"/>
    </row>
    <row r="469" spans="2:12" ht="15" thickBot="1" x14ac:dyDescent="0.25">
      <c r="B469" s="16"/>
      <c r="C469" s="353" t="s">
        <v>731</v>
      </c>
      <c r="D469" s="355">
        <f t="shared" si="14"/>
        <v>245080</v>
      </c>
      <c r="E469" s="751">
        <v>223000</v>
      </c>
      <c r="F469" s="69"/>
      <c r="G469" s="355">
        <v>239358.77246095851</v>
      </c>
      <c r="H469" s="730">
        <f t="shared" si="15"/>
        <v>245080</v>
      </c>
      <c r="I469" s="361"/>
      <c r="J469" s="361"/>
      <c r="K469" s="361"/>
      <c r="L469" s="361"/>
    </row>
    <row r="470" spans="2:12" ht="15" thickBot="1" x14ac:dyDescent="0.25">
      <c r="B470" s="16"/>
      <c r="C470" s="353" t="s">
        <v>732</v>
      </c>
      <c r="D470" s="355">
        <v>248795</v>
      </c>
      <c r="E470" s="751">
        <v>240000</v>
      </c>
      <c r="F470" s="69"/>
      <c r="G470" s="355">
        <v>248795.34975356548</v>
      </c>
      <c r="H470" s="730">
        <f t="shared" si="15"/>
        <v>248795</v>
      </c>
      <c r="I470" s="361"/>
      <c r="J470" s="361"/>
      <c r="K470" s="361"/>
      <c r="L470" s="361"/>
    </row>
    <row r="471" spans="2:12" ht="15" thickBot="1" x14ac:dyDescent="0.25">
      <c r="B471" s="16"/>
      <c r="C471" s="353" t="s">
        <v>733</v>
      </c>
      <c r="D471" s="355">
        <v>248795</v>
      </c>
      <c r="E471" s="751">
        <v>240000</v>
      </c>
      <c r="F471" s="69"/>
      <c r="G471" s="355">
        <v>248692.76244816522</v>
      </c>
      <c r="H471" s="730">
        <f t="shared" si="15"/>
        <v>248795</v>
      </c>
      <c r="I471" s="361"/>
      <c r="J471" s="361"/>
      <c r="K471" s="361"/>
      <c r="L471" s="361"/>
    </row>
    <row r="472" spans="2:12" ht="15" thickBot="1" x14ac:dyDescent="0.25">
      <c r="B472" s="16"/>
      <c r="C472" s="353" t="s">
        <v>734</v>
      </c>
      <c r="D472" s="355">
        <v>248795</v>
      </c>
      <c r="E472" s="751">
        <v>240000</v>
      </c>
      <c r="F472" s="69"/>
      <c r="G472" s="355">
        <v>249692.61044659599</v>
      </c>
      <c r="H472" s="730">
        <f t="shared" si="15"/>
        <v>248795</v>
      </c>
      <c r="I472" s="361"/>
      <c r="J472" s="361"/>
      <c r="K472" s="361"/>
      <c r="L472" s="361"/>
    </row>
    <row r="473" spans="2:12" ht="15" thickBot="1" x14ac:dyDescent="0.25">
      <c r="B473" s="16"/>
      <c r="C473" s="353" t="s">
        <v>735</v>
      </c>
      <c r="D473" s="355">
        <v>248795</v>
      </c>
      <c r="E473" s="751">
        <v>240000</v>
      </c>
      <c r="F473" s="69"/>
      <c r="G473" s="355">
        <v>247654.79044659599</v>
      </c>
      <c r="H473" s="730">
        <f t="shared" si="15"/>
        <v>248795</v>
      </c>
      <c r="I473" s="361"/>
      <c r="J473" s="361"/>
      <c r="K473" s="361"/>
      <c r="L473" s="361"/>
    </row>
    <row r="474" spans="2:12" x14ac:dyDescent="0.2">
      <c r="C474" s="380"/>
      <c r="D474" s="381"/>
      <c r="E474" s="381"/>
      <c r="G474" s="381"/>
    </row>
    <row r="475" spans="2:12" x14ac:dyDescent="0.2">
      <c r="C475" s="52"/>
      <c r="D475" s="52"/>
      <c r="E475" s="52"/>
      <c r="G475" s="5"/>
    </row>
    <row r="476" spans="2:12" ht="13.5" thickBot="1" x14ac:dyDescent="0.25">
      <c r="C476" s="759"/>
      <c r="D476" s="759"/>
      <c r="E476" s="759"/>
    </row>
    <row r="477" spans="2:12" x14ac:dyDescent="0.2">
      <c r="C477" s="50"/>
      <c r="D477" s="57">
        <f>'Premissas e Calculos'!J9</f>
        <v>7.0000000000000007E-2</v>
      </c>
      <c r="E477" s="58" t="s">
        <v>117</v>
      </c>
    </row>
    <row r="478" spans="2:12" ht="13.5" thickBot="1" x14ac:dyDescent="0.25">
      <c r="C478" s="50"/>
      <c r="D478" s="59">
        <f ca="1">'Simulador CEF'!G114</f>
        <v>139216</v>
      </c>
      <c r="E478" s="67">
        <f>VLOOKUP($D$2,'DADOS DOS EMPREENDIMENTOS'!$C$10:$D$23,2,FALSE)</f>
        <v>13</v>
      </c>
      <c r="G478" s="28" t="s">
        <v>13</v>
      </c>
    </row>
    <row r="479" spans="2:12" x14ac:dyDescent="0.2">
      <c r="C479" s="7" t="s">
        <v>10</v>
      </c>
      <c r="D479" s="7" t="s">
        <v>11</v>
      </c>
      <c r="E479" s="68" t="s">
        <v>98</v>
      </c>
      <c r="G479" s="7">
        <f>VLOOKUP($D$2,'DADOS DOS EMPREENDIMENTOS'!A10:L23,12,FALSE)</f>
        <v>0</v>
      </c>
    </row>
    <row r="480" spans="2:12" x14ac:dyDescent="0.2">
      <c r="C480" s="22"/>
      <c r="D480" s="22"/>
      <c r="E480" s="2"/>
      <c r="G480" s="2"/>
    </row>
    <row r="481" spans="3:5" x14ac:dyDescent="0.2">
      <c r="C481" s="60" t="e">
        <f>VLOOKUP(B354,'DADOS DOS EMPREENDIMENTOS'!$O$42:$FW$82,Apoio!$E$478,FALSE)</f>
        <v>#N/A</v>
      </c>
      <c r="D481" s="61" t="e">
        <f>VLOOKUP(B354,'DADOS DOS EMPREENDIMENTOS'!$O$42:$FW$82,Apoio!$E$478+1,FALSE)</f>
        <v>#N/A</v>
      </c>
      <c r="E481" s="62"/>
    </row>
    <row r="482" spans="3:5" x14ac:dyDescent="0.2">
      <c r="C482" s="60" t="e">
        <f>VLOOKUP(B355,'DADOS DOS EMPREENDIMENTOS'!$O$42:$FW$82,Apoio!$E$478,FALSE)</f>
        <v>#N/A</v>
      </c>
      <c r="D482" s="61" t="e">
        <f>VLOOKUP(B355,'DADOS DOS EMPREENDIMENTOS'!$O$42:$FW$82,Apoio!$E$478+1,FALSE)</f>
        <v>#N/A</v>
      </c>
      <c r="E482" s="62" t="e">
        <f ca="1">IF(B355&gt;$F$352,0,SUM($D$481:D481)*Apoio!$D$477*Apoio!$D$478/12)</f>
        <v>#N/A</v>
      </c>
    </row>
    <row r="483" spans="3:5" x14ac:dyDescent="0.2">
      <c r="C483" s="60" t="e">
        <f>VLOOKUP(B356,'DADOS DOS EMPREENDIMENTOS'!$O$42:$FW$82,Apoio!$E$478,FALSE)</f>
        <v>#N/A</v>
      </c>
      <c r="D483" s="61" t="e">
        <f>VLOOKUP(B356,'DADOS DOS EMPREENDIMENTOS'!$O$42:$FW$82,Apoio!$E$478+1,FALSE)</f>
        <v>#N/A</v>
      </c>
      <c r="E483" s="62" t="e">
        <f ca="1">IF(B356&gt;$F$352,0,SUM($D$481:D482)*Apoio!$D$477*Apoio!$D$478/12)</f>
        <v>#N/A</v>
      </c>
    </row>
    <row r="484" spans="3:5" x14ac:dyDescent="0.2">
      <c r="C484" s="60" t="e">
        <f>VLOOKUP(B357,'DADOS DOS EMPREENDIMENTOS'!$O$42:$FW$82,Apoio!$E$478,FALSE)</f>
        <v>#N/A</v>
      </c>
      <c r="D484" s="61" t="e">
        <f>VLOOKUP(B357,'DADOS DOS EMPREENDIMENTOS'!$O$42:$FW$82,Apoio!$E$478+1,FALSE)</f>
        <v>#N/A</v>
      </c>
      <c r="E484" s="62" t="e">
        <f ca="1">IF(B357&gt;$F$352,0,SUM($D$481:D483)*Apoio!$D$477*Apoio!$D$478/12)</f>
        <v>#N/A</v>
      </c>
    </row>
    <row r="485" spans="3:5" x14ac:dyDescent="0.2">
      <c r="C485" s="60" t="e">
        <f>VLOOKUP(B358,'DADOS DOS EMPREENDIMENTOS'!$O$42:$FW$82,Apoio!$E$478,FALSE)</f>
        <v>#N/A</v>
      </c>
      <c r="D485" s="61" t="e">
        <f>VLOOKUP(B358,'DADOS DOS EMPREENDIMENTOS'!$O$42:$FW$82,Apoio!$E$478+1,FALSE)</f>
        <v>#N/A</v>
      </c>
      <c r="E485" s="62" t="e">
        <f ca="1">IF(B358&gt;$F$352,0,SUM($D$481:D484)*Apoio!$D$477*Apoio!$D$478/12)</f>
        <v>#N/A</v>
      </c>
    </row>
    <row r="486" spans="3:5" x14ac:dyDescent="0.2">
      <c r="C486" s="60" t="e">
        <f>VLOOKUP(B359,'DADOS DOS EMPREENDIMENTOS'!$O$42:$FW$82,Apoio!$E$478,FALSE)</f>
        <v>#N/A</v>
      </c>
      <c r="D486" s="61" t="e">
        <f>VLOOKUP(B359,'DADOS DOS EMPREENDIMENTOS'!$O$42:$FW$82,Apoio!$E$478+1,FALSE)</f>
        <v>#N/A</v>
      </c>
      <c r="E486" s="62" t="e">
        <f ca="1">IF(B359&gt;$F$352,0,SUM($D$481:D485)*Apoio!$D$477*Apoio!$D$478/12)</f>
        <v>#N/A</v>
      </c>
    </row>
    <row r="487" spans="3:5" x14ac:dyDescent="0.2">
      <c r="C487" s="60" t="e">
        <f>VLOOKUP(B360,'DADOS DOS EMPREENDIMENTOS'!$O$42:$FW$82,Apoio!$E$478,FALSE)</f>
        <v>#N/A</v>
      </c>
      <c r="D487" s="61" t="e">
        <f>VLOOKUP(B360,'DADOS DOS EMPREENDIMENTOS'!$O$42:$FW$82,Apoio!$E$478+1,FALSE)</f>
        <v>#N/A</v>
      </c>
      <c r="E487" s="62" t="e">
        <f ca="1">IF(B360&gt;$F$352,0,SUM($D$481:D486)*Apoio!$D$477*Apoio!$D$478/12)</f>
        <v>#N/A</v>
      </c>
    </row>
    <row r="488" spans="3:5" x14ac:dyDescent="0.2">
      <c r="C488" s="60" t="e">
        <f>VLOOKUP(B361,'DADOS DOS EMPREENDIMENTOS'!$O$42:$FW$82,Apoio!$E$478,FALSE)</f>
        <v>#N/A</v>
      </c>
      <c r="D488" s="61" t="e">
        <f>VLOOKUP(B361,'DADOS DOS EMPREENDIMENTOS'!$O$42:$FW$82,Apoio!$E$478+1,FALSE)</f>
        <v>#N/A</v>
      </c>
      <c r="E488" s="62" t="e">
        <f ca="1">IF(B361&gt;$F$352,0,SUM($D$481:D487)*Apoio!$D$477*Apoio!$D$478/12)</f>
        <v>#N/A</v>
      </c>
    </row>
    <row r="489" spans="3:5" x14ac:dyDescent="0.2">
      <c r="C489" s="60" t="e">
        <f>VLOOKUP(B362,'DADOS DOS EMPREENDIMENTOS'!$O$42:$FW$82,Apoio!$E$478,FALSE)</f>
        <v>#N/A</v>
      </c>
      <c r="D489" s="61" t="e">
        <f>VLOOKUP(B362,'DADOS DOS EMPREENDIMENTOS'!$O$42:$FW$82,Apoio!$E$478+1,FALSE)</f>
        <v>#N/A</v>
      </c>
      <c r="E489" s="62" t="e">
        <f ca="1">IF(B362&gt;$F$352,0,SUM($D$481:D488)*Apoio!$D$477*Apoio!$D$478/12)</f>
        <v>#N/A</v>
      </c>
    </row>
    <row r="490" spans="3:5" x14ac:dyDescent="0.2">
      <c r="C490" s="60" t="e">
        <f>VLOOKUP(B363,'DADOS DOS EMPREENDIMENTOS'!$O$42:$FW$82,Apoio!$E$478,FALSE)</f>
        <v>#N/A</v>
      </c>
      <c r="D490" s="61" t="e">
        <f>VLOOKUP(B363,'DADOS DOS EMPREENDIMENTOS'!$O$42:$FW$82,Apoio!$E$478+1,FALSE)</f>
        <v>#N/A</v>
      </c>
      <c r="E490" s="62" t="e">
        <f ca="1">IF(B363&gt;$F$352,0,SUM($D$481:D489)*Apoio!$D$477*Apoio!$D$478/12)</f>
        <v>#N/A</v>
      </c>
    </row>
    <row r="491" spans="3:5" x14ac:dyDescent="0.2">
      <c r="C491" s="60" t="e">
        <f>VLOOKUP(B364,'DADOS DOS EMPREENDIMENTOS'!$O$42:$FW$82,Apoio!$E$478,FALSE)</f>
        <v>#N/A</v>
      </c>
      <c r="D491" s="61" t="e">
        <f>VLOOKUP(B364,'DADOS DOS EMPREENDIMENTOS'!$O$42:$FW$82,Apoio!$E$478+1,FALSE)</f>
        <v>#N/A</v>
      </c>
      <c r="E491" s="62" t="e">
        <f ca="1">IF(B364&gt;$F$352,0,SUM($D$481:D490)*Apoio!$D$477*Apoio!$D$478/12)</f>
        <v>#N/A</v>
      </c>
    </row>
    <row r="492" spans="3:5" x14ac:dyDescent="0.2">
      <c r="C492" s="60" t="e">
        <f>VLOOKUP(B365,'DADOS DOS EMPREENDIMENTOS'!$O$42:$FW$82,Apoio!$E$478,FALSE)</f>
        <v>#N/A</v>
      </c>
      <c r="D492" s="61" t="e">
        <f>VLOOKUP(B365,'DADOS DOS EMPREENDIMENTOS'!$O$42:$FW$82,Apoio!$E$478+1,FALSE)</f>
        <v>#N/A</v>
      </c>
      <c r="E492" s="62" t="e">
        <f ca="1">IF(B365&gt;$F$352,0,SUM($D$481:D491)*Apoio!$D$477*Apoio!$D$478/12)</f>
        <v>#N/A</v>
      </c>
    </row>
    <row r="493" spans="3:5" x14ac:dyDescent="0.2">
      <c r="C493" s="60" t="e">
        <f>VLOOKUP(B366,'DADOS DOS EMPREENDIMENTOS'!$O$42:$FW$82,Apoio!$E$478,FALSE)</f>
        <v>#N/A</v>
      </c>
      <c r="D493" s="61" t="e">
        <f>VLOOKUP(B366,'DADOS DOS EMPREENDIMENTOS'!$O$42:$FW$82,Apoio!$E$478+1,FALSE)</f>
        <v>#N/A</v>
      </c>
      <c r="E493" s="62" t="e">
        <f ca="1">IF(B366&gt;$F$352,0,SUM($D$481:D492)*Apoio!$D$477*Apoio!$D$478/12)</f>
        <v>#N/A</v>
      </c>
    </row>
    <row r="494" spans="3:5" x14ac:dyDescent="0.2">
      <c r="C494" s="60" t="e">
        <f>VLOOKUP(B367,'DADOS DOS EMPREENDIMENTOS'!$O$42:$FW$82,Apoio!$E$478,FALSE)</f>
        <v>#N/A</v>
      </c>
      <c r="D494" s="61" t="e">
        <f>VLOOKUP(B367,'DADOS DOS EMPREENDIMENTOS'!$O$42:$FW$82,Apoio!$E$478+1,FALSE)</f>
        <v>#N/A</v>
      </c>
      <c r="E494" s="62" t="e">
        <f ca="1">IF(B367&gt;$F$352,0,SUM($D$481:D493)*Apoio!$D$477*Apoio!$D$478/12)</f>
        <v>#N/A</v>
      </c>
    </row>
    <row r="495" spans="3:5" x14ac:dyDescent="0.2">
      <c r="C495" s="60" t="e">
        <f>VLOOKUP(B368,'DADOS DOS EMPREENDIMENTOS'!$O$42:$FW$82,Apoio!$E$478,FALSE)</f>
        <v>#N/A</v>
      </c>
      <c r="D495" s="61" t="e">
        <f>VLOOKUP(B368,'DADOS DOS EMPREENDIMENTOS'!$O$42:$FW$82,Apoio!$E$478+1,FALSE)</f>
        <v>#N/A</v>
      </c>
      <c r="E495" s="62" t="e">
        <f ca="1">IF(B368&gt;$F$352,0,SUM($D$481:D494)*Apoio!$D$477*Apoio!$D$478/12)</f>
        <v>#N/A</v>
      </c>
    </row>
    <row r="496" spans="3:5" x14ac:dyDescent="0.2">
      <c r="C496" s="60" t="e">
        <f>VLOOKUP(B369,'DADOS DOS EMPREENDIMENTOS'!$O$42:$FW$82,Apoio!$E$478,FALSE)</f>
        <v>#N/A</v>
      </c>
      <c r="D496" s="61" t="e">
        <f>VLOOKUP(B369,'DADOS DOS EMPREENDIMENTOS'!$O$42:$FW$82,Apoio!$E$478+1,FALSE)</f>
        <v>#N/A</v>
      </c>
      <c r="E496" s="62" t="e">
        <f ca="1">IF(B369&gt;$F$352,0,SUM($D$481:D495)*Apoio!$D$477*Apoio!$D$478/12)</f>
        <v>#N/A</v>
      </c>
    </row>
    <row r="497" spans="3:5" x14ac:dyDescent="0.2">
      <c r="C497" s="60" t="e">
        <f>VLOOKUP(B370,'DADOS DOS EMPREENDIMENTOS'!$O$42:$FW$82,Apoio!$E$478,FALSE)</f>
        <v>#N/A</v>
      </c>
      <c r="D497" s="61" t="e">
        <f>VLOOKUP(B370,'DADOS DOS EMPREENDIMENTOS'!$O$42:$FW$82,Apoio!$E$478+1,FALSE)</f>
        <v>#N/A</v>
      </c>
      <c r="E497" s="62" t="e">
        <f ca="1">IF(B370&gt;$F$352,0,SUM($D$481:D496)*Apoio!$D$477*Apoio!$D$478/12)</f>
        <v>#N/A</v>
      </c>
    </row>
    <row r="498" spans="3:5" x14ac:dyDescent="0.2">
      <c r="C498" s="60" t="e">
        <f>VLOOKUP(B371,'DADOS DOS EMPREENDIMENTOS'!$O$42:$FW$82,Apoio!$E$478,FALSE)</f>
        <v>#N/A</v>
      </c>
      <c r="D498" s="61" t="e">
        <f>VLOOKUP(B371,'DADOS DOS EMPREENDIMENTOS'!$O$42:$FW$82,Apoio!$E$478+1,FALSE)</f>
        <v>#N/A</v>
      </c>
      <c r="E498" s="62" t="e">
        <f ca="1">IF(B371&gt;$F$352,0,SUM($D$481:D497)*Apoio!$D$477*Apoio!$D$478/12)</f>
        <v>#N/A</v>
      </c>
    </row>
    <row r="499" spans="3:5" x14ac:dyDescent="0.2">
      <c r="C499" s="60" t="e">
        <f>VLOOKUP(B372,'DADOS DOS EMPREENDIMENTOS'!$O$42:$FW$82,Apoio!$E$478,FALSE)</f>
        <v>#N/A</v>
      </c>
      <c r="D499" s="61" t="e">
        <f>VLOOKUP(B372,'DADOS DOS EMPREENDIMENTOS'!$O$42:$FW$82,Apoio!$E$478+1,FALSE)</f>
        <v>#N/A</v>
      </c>
      <c r="E499" s="62" t="e">
        <f ca="1">IF(B372&gt;$F$352,0,SUM($D$481:D498)*Apoio!$D$477*Apoio!$D$478/12)</f>
        <v>#N/A</v>
      </c>
    </row>
    <row r="500" spans="3:5" x14ac:dyDescent="0.2">
      <c r="C500" s="60" t="e">
        <f>VLOOKUP(B373,'DADOS DOS EMPREENDIMENTOS'!$O$42:$FW$82,Apoio!$E$478,FALSE)</f>
        <v>#N/A</v>
      </c>
      <c r="D500" s="61" t="e">
        <f>VLOOKUP(B373,'DADOS DOS EMPREENDIMENTOS'!$O$42:$FW$82,Apoio!$E$478+1,FALSE)</f>
        <v>#N/A</v>
      </c>
      <c r="E500" s="62" t="e">
        <f ca="1">IF(B373&gt;$F$352,0,SUM($D$481:D499)*Apoio!$D$477*Apoio!$D$478/12)</f>
        <v>#N/A</v>
      </c>
    </row>
    <row r="501" spans="3:5" x14ac:dyDescent="0.2">
      <c r="C501" s="60" t="e">
        <f>VLOOKUP(B374,'DADOS DOS EMPREENDIMENTOS'!$O$42:$FW$82,Apoio!$E$478,FALSE)</f>
        <v>#N/A</v>
      </c>
      <c r="D501" s="61" t="e">
        <f>VLOOKUP(B374,'DADOS DOS EMPREENDIMENTOS'!$O$42:$FW$82,Apoio!$E$478+1,FALSE)</f>
        <v>#N/A</v>
      </c>
      <c r="E501" s="62" t="e">
        <f ca="1">IF(B374&gt;$F$352,0,SUM($D$481:D500)*Apoio!$D$477*Apoio!$D$478/12)</f>
        <v>#N/A</v>
      </c>
    </row>
    <row r="502" spans="3:5" x14ac:dyDescent="0.2">
      <c r="C502" s="60" t="e">
        <f>VLOOKUP(B375,'DADOS DOS EMPREENDIMENTOS'!$O$42:$FW$82,Apoio!$E$478,FALSE)</f>
        <v>#N/A</v>
      </c>
      <c r="D502" s="61" t="e">
        <f>VLOOKUP(B375,'DADOS DOS EMPREENDIMENTOS'!$O$42:$FW$82,Apoio!$E$478+1,FALSE)</f>
        <v>#N/A</v>
      </c>
      <c r="E502" s="62" t="e">
        <f ca="1">IF(B375&gt;$F$352,0,SUM($D$481:D501)*Apoio!$D$477*Apoio!$D$478/12)</f>
        <v>#N/A</v>
      </c>
    </row>
    <row r="503" spans="3:5" x14ac:dyDescent="0.2">
      <c r="C503" s="60" t="e">
        <f>VLOOKUP(B376,'DADOS DOS EMPREENDIMENTOS'!$O$42:$FW$82,Apoio!$E$478,FALSE)</f>
        <v>#N/A</v>
      </c>
      <c r="D503" s="61" t="e">
        <f>VLOOKUP(B376,'DADOS DOS EMPREENDIMENTOS'!$O$42:$FW$82,Apoio!$E$478+1,FALSE)</f>
        <v>#N/A</v>
      </c>
      <c r="E503" s="62" t="e">
        <f ca="1">IF(B376&gt;$F$352,0,SUM($D$481:D502)*Apoio!$D$477*Apoio!$D$478/12)</f>
        <v>#N/A</v>
      </c>
    </row>
    <row r="504" spans="3:5" x14ac:dyDescent="0.2">
      <c r="C504" s="60" t="e">
        <f>VLOOKUP(B377,'DADOS DOS EMPREENDIMENTOS'!$O$42:$FW$82,Apoio!$E$478,FALSE)</f>
        <v>#N/A</v>
      </c>
      <c r="D504" s="61" t="e">
        <f>VLOOKUP(B377,'DADOS DOS EMPREENDIMENTOS'!$O$42:$FW$82,Apoio!$E$478+1,FALSE)</f>
        <v>#N/A</v>
      </c>
      <c r="E504" s="62" t="e">
        <f ca="1">IF(B377&gt;$F$352,0,SUM($D$481:D503)*Apoio!$D$477*Apoio!$D$478/12)</f>
        <v>#N/A</v>
      </c>
    </row>
    <row r="505" spans="3:5" x14ac:dyDescent="0.2">
      <c r="C505" s="60" t="e">
        <f>VLOOKUP(B378,'DADOS DOS EMPREENDIMENTOS'!$O$42:$FW$82,Apoio!$E$478,FALSE)</f>
        <v>#N/A</v>
      </c>
      <c r="D505" s="61" t="e">
        <f>VLOOKUP(B378,'DADOS DOS EMPREENDIMENTOS'!$O$42:$FW$82,Apoio!$E$478+1,FALSE)</f>
        <v>#N/A</v>
      </c>
      <c r="E505" s="62" t="e">
        <f ca="1">IF(B378&gt;$F$352,0,SUM($D$481:D504)*Apoio!$D$477*Apoio!$D$478/12)</f>
        <v>#N/A</v>
      </c>
    </row>
    <row r="506" spans="3:5" x14ac:dyDescent="0.2">
      <c r="C506" s="60" t="e">
        <f>VLOOKUP(B379,'DADOS DOS EMPREENDIMENTOS'!$O$42:$FW$82,Apoio!$E$478,FALSE)</f>
        <v>#N/A</v>
      </c>
      <c r="D506" s="61" t="e">
        <f>VLOOKUP(B379,'DADOS DOS EMPREENDIMENTOS'!$O$42:$FW$82,Apoio!$E$478+1,FALSE)</f>
        <v>#N/A</v>
      </c>
      <c r="E506" s="62" t="e">
        <f ca="1">IF(B379&gt;$F$352,0,SUM($D$481:D505)*Apoio!$D$477*Apoio!$D$478/12)</f>
        <v>#N/A</v>
      </c>
    </row>
    <row r="507" spans="3:5" x14ac:dyDescent="0.2">
      <c r="C507" s="60" t="e">
        <f>VLOOKUP(B380,'DADOS DOS EMPREENDIMENTOS'!$O$42:$FW$82,Apoio!$E$478,FALSE)</f>
        <v>#N/A</v>
      </c>
      <c r="D507" s="61" t="e">
        <f>VLOOKUP(B380,'DADOS DOS EMPREENDIMENTOS'!$O$42:$FW$82,Apoio!$E$478+1,FALSE)</f>
        <v>#N/A</v>
      </c>
      <c r="E507" s="62" t="e">
        <f ca="1">IF(B380&gt;$F$352,0,SUM($D$481:D506)*Apoio!$D$477*Apoio!$D$478/12)</f>
        <v>#N/A</v>
      </c>
    </row>
    <row r="508" spans="3:5" x14ac:dyDescent="0.2">
      <c r="C508" s="60" t="e">
        <f>VLOOKUP(B381,'DADOS DOS EMPREENDIMENTOS'!$O$42:$FW$82,Apoio!$E$478,FALSE)</f>
        <v>#N/A</v>
      </c>
      <c r="D508" s="61" t="e">
        <f>VLOOKUP(B381,'DADOS DOS EMPREENDIMENTOS'!$O$42:$FW$82,Apoio!$E$478+1,FALSE)</f>
        <v>#N/A</v>
      </c>
      <c r="E508" s="62" t="e">
        <f ca="1">IF(B381&gt;$F$352,0,SUM($D$481:D507)*Apoio!$D$477*Apoio!$D$478/12)</f>
        <v>#N/A</v>
      </c>
    </row>
    <row r="509" spans="3:5" x14ac:dyDescent="0.2">
      <c r="C509" s="60" t="e">
        <f>VLOOKUP(B382,'DADOS DOS EMPREENDIMENTOS'!$O$42:$FW$82,Apoio!$E$478,FALSE)</f>
        <v>#N/A</v>
      </c>
      <c r="D509" s="61" t="e">
        <f>VLOOKUP(B382,'DADOS DOS EMPREENDIMENTOS'!$O$42:$FW$82,Apoio!$E$478+1,FALSE)</f>
        <v>#N/A</v>
      </c>
      <c r="E509" s="62" t="e">
        <f ca="1">IF(B382&gt;$F$352,0,SUM($D$481:D508)*Apoio!$D$477*Apoio!$D$478/12)</f>
        <v>#N/A</v>
      </c>
    </row>
    <row r="510" spans="3:5" x14ac:dyDescent="0.2">
      <c r="C510" s="60" t="e">
        <f>VLOOKUP(B383,'DADOS DOS EMPREENDIMENTOS'!$O$42:$FW$82,Apoio!$E$478,FALSE)</f>
        <v>#N/A</v>
      </c>
      <c r="D510" s="61" t="e">
        <f>VLOOKUP(B383,'DADOS DOS EMPREENDIMENTOS'!$O$42:$FW$82,Apoio!$E$478+1,FALSE)</f>
        <v>#N/A</v>
      </c>
      <c r="E510" s="62" t="e">
        <f ca="1">IF(B383&gt;$F$352,0,SUM($D$481:D509)*Apoio!$D$477*Apoio!$D$478/12)</f>
        <v>#N/A</v>
      </c>
    </row>
    <row r="511" spans="3:5" x14ac:dyDescent="0.2">
      <c r="C511" s="60" t="e">
        <f>VLOOKUP(B384,'DADOS DOS EMPREENDIMENTOS'!$O$42:$FW$82,Apoio!$E$478,FALSE)</f>
        <v>#N/A</v>
      </c>
      <c r="D511" s="61" t="e">
        <f>VLOOKUP(B384,'DADOS DOS EMPREENDIMENTOS'!$O$42:$FW$82,Apoio!$E$478+1,FALSE)</f>
        <v>#N/A</v>
      </c>
      <c r="E511" s="62" t="e">
        <f ca="1">IF(B384&gt;$F$352,0,SUM($D$481:D510)*Apoio!$D$477*Apoio!$D$478/12)</f>
        <v>#N/A</v>
      </c>
    </row>
    <row r="512" spans="3:5" x14ac:dyDescent="0.2">
      <c r="C512" s="60" t="e">
        <f>VLOOKUP(B385,'DADOS DOS EMPREENDIMENTOS'!$O$42:$FW$82,Apoio!$E$478,FALSE)</f>
        <v>#N/A</v>
      </c>
      <c r="D512" s="61" t="e">
        <f>VLOOKUP(B385,'DADOS DOS EMPREENDIMENTOS'!$O$42:$FW$82,Apoio!$E$478+1,FALSE)</f>
        <v>#N/A</v>
      </c>
      <c r="E512" s="62" t="e">
        <f ca="1">IF(B385&gt;$F$352,0,SUM($D$481:D511)*Apoio!$D$477*Apoio!$D$478/12)</f>
        <v>#N/A</v>
      </c>
    </row>
    <row r="513" spans="3:5" x14ac:dyDescent="0.2">
      <c r="C513" s="60" t="e">
        <f>VLOOKUP(B386,'DADOS DOS EMPREENDIMENTOS'!$O$42:$FW$82,Apoio!$E$478,FALSE)</f>
        <v>#N/A</v>
      </c>
      <c r="D513" s="61" t="e">
        <f>VLOOKUP(B386,'DADOS DOS EMPREENDIMENTOS'!$O$42:$FW$82,Apoio!$E$478+1,FALSE)</f>
        <v>#N/A</v>
      </c>
      <c r="E513" s="62" t="e">
        <f ca="1">IF(B386&gt;$F$352,0,SUM($D$481:D512)*Apoio!$D$477*Apoio!$D$478/12)</f>
        <v>#N/A</v>
      </c>
    </row>
    <row r="514" spans="3:5" x14ac:dyDescent="0.2">
      <c r="C514" s="60" t="e">
        <f>VLOOKUP(B387,'DADOS DOS EMPREENDIMENTOS'!$O$42:$FW$82,Apoio!$E$478,FALSE)</f>
        <v>#N/A</v>
      </c>
      <c r="D514" s="61" t="e">
        <f>VLOOKUP(B387,'DADOS DOS EMPREENDIMENTOS'!$O$42:$FW$82,Apoio!$E$478+1,FALSE)</f>
        <v>#N/A</v>
      </c>
      <c r="E514" s="62" t="e">
        <f ca="1">IF(B387&gt;$F$352,0,SUM($D$481:D513)*Apoio!$D$477*Apoio!$D$478/12)</f>
        <v>#N/A</v>
      </c>
    </row>
    <row r="515" spans="3:5" x14ac:dyDescent="0.2">
      <c r="C515" s="60" t="e">
        <f>VLOOKUP(B388,'DADOS DOS EMPREENDIMENTOS'!$O$42:$FW$82,Apoio!$E$478,FALSE)</f>
        <v>#N/A</v>
      </c>
      <c r="D515" s="61" t="e">
        <f>VLOOKUP(B388,'DADOS DOS EMPREENDIMENTOS'!$O$42:$FW$82,Apoio!$E$478+1,FALSE)</f>
        <v>#N/A</v>
      </c>
      <c r="E515" s="62" t="e">
        <f ca="1">IF(B388&gt;$F$352,0,SUM($D$481:D514)*Apoio!$D$477*Apoio!$D$478/12)</f>
        <v>#N/A</v>
      </c>
    </row>
    <row r="516" spans="3:5" x14ac:dyDescent="0.2">
      <c r="C516" s="60" t="e">
        <f>VLOOKUP(B389,'DADOS DOS EMPREENDIMENTOS'!$O$42:$FW$82,Apoio!$E$478,FALSE)</f>
        <v>#N/A</v>
      </c>
      <c r="D516" s="61" t="e">
        <f>VLOOKUP(B389,'DADOS DOS EMPREENDIMENTOS'!$O$42:$FW$82,Apoio!$E$478+1,FALSE)</f>
        <v>#N/A</v>
      </c>
      <c r="E516" s="62" t="e">
        <f ca="1">IF(B389&gt;$F$352,0,SUM($D$481:D515)*Apoio!$D$477*Apoio!$D$478/12)</f>
        <v>#N/A</v>
      </c>
    </row>
    <row r="517" spans="3:5" x14ac:dyDescent="0.2">
      <c r="C517" s="60" t="e">
        <f>VLOOKUP(B390,'DADOS DOS EMPREENDIMENTOS'!$O$42:$FW$82,Apoio!$E$478,FALSE)</f>
        <v>#N/A</v>
      </c>
      <c r="D517" s="61" t="e">
        <f>VLOOKUP(B390,'DADOS DOS EMPREENDIMENTOS'!$O$42:$FW$82,Apoio!$E$478+1,FALSE)</f>
        <v>#N/A</v>
      </c>
      <c r="E517" s="62" t="e">
        <f ca="1">IF(B390&gt;$F$352,0,SUM($D$481:D516)*Apoio!$D$477*Apoio!$D$478/12)</f>
        <v>#N/A</v>
      </c>
    </row>
    <row r="518" spans="3:5" x14ac:dyDescent="0.2">
      <c r="C518" s="60" t="e">
        <f>VLOOKUP(B391,'DADOS DOS EMPREENDIMENTOS'!$O$42:$FW$82,Apoio!$E$478,FALSE)</f>
        <v>#N/A</v>
      </c>
      <c r="D518" s="61" t="e">
        <f>VLOOKUP(B391,'DADOS DOS EMPREENDIMENTOS'!$O$42:$FW$82,Apoio!$E$478+1,FALSE)</f>
        <v>#N/A</v>
      </c>
      <c r="E518" s="62" t="e">
        <f ca="1">IF(B391&gt;$F$352,0,SUM($D$481:D517)*Apoio!$D$477*Apoio!$D$478/12)</f>
        <v>#N/A</v>
      </c>
    </row>
    <row r="519" spans="3:5" x14ac:dyDescent="0.2">
      <c r="C519" s="60" t="e">
        <f>VLOOKUP(B392,'DADOS DOS EMPREENDIMENTOS'!$O$42:$FW$82,Apoio!$E$478,FALSE)</f>
        <v>#N/A</v>
      </c>
      <c r="D519" s="61" t="e">
        <f>VLOOKUP(B392,'DADOS DOS EMPREENDIMENTOS'!$O$42:$FW$82,Apoio!$E$478+1,FALSE)</f>
        <v>#N/A</v>
      </c>
      <c r="E519" s="62" t="e">
        <f ca="1">IF(B392&gt;$F$352,0,SUM($D$481:D518)*Apoio!$D$477*Apoio!$D$478/12)</f>
        <v>#N/A</v>
      </c>
    </row>
    <row r="520" spans="3:5" x14ac:dyDescent="0.2">
      <c r="C520" s="60" t="e">
        <f>VLOOKUP(B393,'DADOS DOS EMPREENDIMENTOS'!$O$42:$FW$82,Apoio!$E$478,FALSE)</f>
        <v>#N/A</v>
      </c>
      <c r="D520" s="61" t="e">
        <f>VLOOKUP(B393,'DADOS DOS EMPREENDIMENTOS'!$O$42:$FW$82,Apoio!$E$478+1,FALSE)</f>
        <v>#N/A</v>
      </c>
      <c r="E520" s="62" t="e">
        <f ca="1">IF(B393&gt;$F$352,0,SUM($D$481:D519)*Apoio!$D$477*Apoio!$D$478/12)</f>
        <v>#N/A</v>
      </c>
    </row>
  </sheetData>
  <sheetProtection algorithmName="SHA-512" hashValue="eQtsU2bc7mObXbSWmXqNacZYbNkQ2C2vbdGn676142MG0j6yAg22jJOT7rN6r9kP6tZIAwVifxo4lglbUqOSUQ==" saltValue="IbC5gURpjWUhuSKNtu4jqg==" spinCount="100000" sheet="1" objects="1" scenarios="1"/>
  <autoFilter ref="A8:L8"/>
  <mergeCells count="4">
    <mergeCell ref="B1:E1"/>
    <mergeCell ref="D3:E3"/>
    <mergeCell ref="B6:B8"/>
    <mergeCell ref="B5:E5"/>
  </mergeCells>
  <phoneticPr fontId="3" type="noConversion"/>
  <conditionalFormatting sqref="H9:H473">
    <cfRule type="cellIs" dxfId="2" priority="3" operator="greaterThan">
      <formula>$I$8</formula>
    </cfRule>
    <cfRule type="cellIs" dxfId="1" priority="4" operator="lessThanOrEqual">
      <formula>$J$8</formula>
    </cfRule>
  </conditionalFormatting>
  <pageMargins left="0.75" right="0.75" top="1" bottom="1" header="0.49212598499999999" footer="0.49212598499999999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theme="0" tint="-0.14999847407452621"/>
    <pageSetUpPr fitToPage="1"/>
  </sheetPr>
  <dimension ref="A1:AA58"/>
  <sheetViews>
    <sheetView showGridLines="0" topLeftCell="F1" zoomScale="70" zoomScaleNormal="70" zoomScaleSheetLayoutView="100" workbookViewId="0">
      <selection activeCell="J13" sqref="J13"/>
    </sheetView>
  </sheetViews>
  <sheetFormatPr defaultColWidth="9.7109375" defaultRowHeight="12.75" x14ac:dyDescent="0.2"/>
  <cols>
    <col min="1" max="1" width="1.85546875" style="84" customWidth="1"/>
    <col min="2" max="2" width="7.7109375" style="85" bestFit="1" customWidth="1"/>
    <col min="3" max="3" width="10.28515625" style="86" bestFit="1" customWidth="1"/>
    <col min="4" max="4" width="8.42578125" style="87" customWidth="1"/>
    <col min="5" max="5" width="9.7109375" style="84" customWidth="1"/>
    <col min="6" max="6" width="29.85546875" style="84" customWidth="1"/>
    <col min="7" max="7" width="12" style="84" customWidth="1"/>
    <col min="8" max="8" width="11" style="86" customWidth="1"/>
    <col min="9" max="9" width="1.28515625" style="86" customWidth="1"/>
    <col min="10" max="10" width="23.140625" style="86" customWidth="1"/>
    <col min="11" max="11" width="11" style="84" customWidth="1"/>
    <col min="12" max="12" width="14.5703125" style="84" bestFit="1" customWidth="1"/>
    <col min="13" max="13" width="28" style="84" bestFit="1" customWidth="1"/>
    <col min="14" max="14" width="11.5703125" style="84" bestFit="1" customWidth="1"/>
    <col min="15" max="15" width="24.42578125" style="84" bestFit="1" customWidth="1"/>
    <col min="16" max="16" width="34.85546875" style="84" bestFit="1" customWidth="1"/>
    <col min="17" max="17" width="17.28515625" style="84" bestFit="1" customWidth="1"/>
    <col min="18" max="18" width="9.7109375" style="84" customWidth="1"/>
    <col min="19" max="19" width="30.140625" style="84" bestFit="1" customWidth="1"/>
    <col min="20" max="20" width="14.28515625" style="84" customWidth="1"/>
    <col min="21" max="21" width="9.7109375" style="84" customWidth="1"/>
    <col min="22" max="22" width="23.42578125" style="84" bestFit="1" customWidth="1"/>
    <col min="23" max="26" width="9.7109375" style="84"/>
    <col min="27" max="27" width="21.28515625" style="84" bestFit="1" customWidth="1"/>
    <col min="28" max="16384" width="9.7109375" style="84"/>
  </cols>
  <sheetData>
    <row r="1" spans="1:27" ht="23.25" customHeight="1" x14ac:dyDescent="0.2">
      <c r="J1" s="88" t="s">
        <v>172</v>
      </c>
      <c r="AA1" s="192" t="s">
        <v>218</v>
      </c>
    </row>
    <row r="2" spans="1:27" s="91" customFormat="1" ht="40.5" customHeight="1" thickBot="1" x14ac:dyDescent="0.25">
      <c r="C2" s="116" t="s">
        <v>0</v>
      </c>
      <c r="D2" s="90" t="s">
        <v>2</v>
      </c>
      <c r="F2" s="83" t="s">
        <v>7</v>
      </c>
      <c r="G2" s="92" t="s">
        <v>96</v>
      </c>
      <c r="H2" s="89" t="s">
        <v>97</v>
      </c>
      <c r="I2" s="86"/>
      <c r="J2" s="93" t="s">
        <v>115</v>
      </c>
      <c r="K2" s="84"/>
      <c r="L2" s="1102" t="s">
        <v>93</v>
      </c>
      <c r="M2" s="1102"/>
      <c r="N2" s="1102"/>
      <c r="O2" s="1103"/>
      <c r="P2" s="1103"/>
      <c r="Q2" s="1103"/>
      <c r="S2" s="1082" t="s">
        <v>86</v>
      </c>
      <c r="T2" s="1082"/>
      <c r="AA2" s="223" t="s">
        <v>250</v>
      </c>
    </row>
    <row r="3" spans="1:27" ht="13.5" thickBot="1" x14ac:dyDescent="0.25">
      <c r="B3" s="382"/>
      <c r="C3" s="336">
        <v>0.01</v>
      </c>
      <c r="D3" s="337">
        <v>0.05</v>
      </c>
      <c r="F3" s="94" t="s">
        <v>4</v>
      </c>
      <c r="G3" s="95">
        <v>240000</v>
      </c>
      <c r="H3" s="96">
        <v>240000</v>
      </c>
      <c r="J3" s="97">
        <f>Apoio!E4</f>
        <v>240000</v>
      </c>
      <c r="L3" s="98"/>
      <c r="M3" s="99"/>
      <c r="N3" s="100"/>
      <c r="O3" s="101">
        <f>'Simulador CEF'!E25</f>
        <v>360</v>
      </c>
      <c r="P3" s="1100" t="s">
        <v>94</v>
      </c>
      <c r="Q3" s="1101"/>
      <c r="S3" s="103"/>
      <c r="T3" s="103"/>
      <c r="V3" s="1086" t="s">
        <v>125</v>
      </c>
      <c r="W3" s="1087"/>
      <c r="AA3" s="223" t="s">
        <v>249</v>
      </c>
    </row>
    <row r="4" spans="1:27" s="106" customFormat="1" ht="13.5" thickBot="1" x14ac:dyDescent="0.25">
      <c r="B4" s="382"/>
      <c r="C4" s="336">
        <v>2600</v>
      </c>
      <c r="D4" s="337">
        <v>5.5E-2</v>
      </c>
      <c r="E4" s="104"/>
      <c r="F4" s="94" t="s">
        <v>5</v>
      </c>
      <c r="G4" s="105">
        <v>29000</v>
      </c>
      <c r="H4" s="95">
        <v>27500</v>
      </c>
      <c r="I4" s="86"/>
      <c r="J4" s="1088" t="s">
        <v>126</v>
      </c>
      <c r="L4" s="107"/>
      <c r="M4" s="108"/>
      <c r="N4" s="109"/>
      <c r="O4" s="374">
        <f>J13*0.8</f>
        <v>176000</v>
      </c>
      <c r="P4" s="377" t="s">
        <v>395</v>
      </c>
      <c r="Q4" s="111"/>
      <c r="S4" s="112">
        <v>240</v>
      </c>
      <c r="T4" s="113"/>
      <c r="V4" s="114" t="s">
        <v>19</v>
      </c>
      <c r="W4" s="115">
        <f>IF('Simulador CEF'!M18&lt;&gt;0,1,0)</f>
        <v>1</v>
      </c>
    </row>
    <row r="5" spans="1:27" x14ac:dyDescent="0.2">
      <c r="B5" s="382"/>
      <c r="C5" s="336">
        <v>3000</v>
      </c>
      <c r="D5" s="337">
        <v>0.06</v>
      </c>
      <c r="E5" s="104"/>
      <c r="F5" s="94"/>
      <c r="G5" s="95"/>
      <c r="H5" s="116"/>
      <c r="J5" s="1089"/>
      <c r="L5" s="107"/>
      <c r="M5" s="108"/>
      <c r="N5" s="109"/>
      <c r="O5" s="110"/>
      <c r="P5" s="111"/>
      <c r="Q5" s="111"/>
      <c r="S5" s="117">
        <v>300</v>
      </c>
      <c r="T5" s="118"/>
    </row>
    <row r="6" spans="1:27" ht="13.5" thickBot="1" x14ac:dyDescent="0.25">
      <c r="B6" s="382"/>
      <c r="C6" s="336">
        <v>4000</v>
      </c>
      <c r="D6" s="337">
        <v>7.0000000000000007E-2</v>
      </c>
      <c r="E6" s="104"/>
      <c r="F6" s="94"/>
      <c r="G6" s="95"/>
      <c r="H6" s="119"/>
      <c r="J6" s="70">
        <f>'Simulador CEF'!E19</f>
        <v>4000</v>
      </c>
      <c r="L6" s="107"/>
      <c r="M6" s="108"/>
      <c r="N6" s="109"/>
      <c r="O6" s="110">
        <f ca="1">IF('Simulador CEF'!H3="Tabela SAC",((M17)/((1/J19)+('Premissas e Calculos'!J9/12))),M17*(((J9/12)+1)^J19-1)/((J9/12)*(1+(J9/12))^J19))</f>
        <v>139215.62308659084</v>
      </c>
      <c r="P6" s="111" t="s">
        <v>18</v>
      </c>
      <c r="Q6" s="111"/>
      <c r="S6" s="120">
        <f>IF('Premissas e Calculos'!J6&lt;=2790,"",360)</f>
        <v>360</v>
      </c>
      <c r="T6" s="121"/>
    </row>
    <row r="7" spans="1:27" x14ac:dyDescent="0.2">
      <c r="B7" s="383"/>
      <c r="C7" s="336">
        <v>7000</v>
      </c>
      <c r="D7" s="337">
        <v>8.1600000000000006E-2</v>
      </c>
      <c r="E7" s="104"/>
      <c r="F7" s="122"/>
      <c r="G7" s="116"/>
      <c r="H7" s="116"/>
      <c r="J7" s="1090" t="s">
        <v>136</v>
      </c>
      <c r="L7" s="107"/>
      <c r="M7" s="108"/>
      <c r="N7" s="123"/>
      <c r="O7" s="124"/>
      <c r="P7" s="111"/>
      <c r="Q7" s="111"/>
      <c r="S7" s="125" t="s">
        <v>88</v>
      </c>
      <c r="T7" s="126" t="s">
        <v>87</v>
      </c>
    </row>
    <row r="8" spans="1:27" ht="13.5" thickBot="1" x14ac:dyDescent="0.25">
      <c r="B8" s="384"/>
      <c r="C8" s="385"/>
      <c r="D8" s="386"/>
      <c r="E8" s="104"/>
      <c r="F8" s="127"/>
      <c r="G8" s="128"/>
      <c r="H8" s="116"/>
      <c r="J8" s="1090"/>
      <c r="L8" s="129"/>
      <c r="M8" s="130"/>
      <c r="N8" s="131"/>
      <c r="O8" s="102">
        <f>J19</f>
        <v>360</v>
      </c>
      <c r="P8" s="1096" t="s">
        <v>113</v>
      </c>
      <c r="Q8" s="1097"/>
      <c r="S8" s="114">
        <f>IF(AND('Premissas e Calculos'!J6&lt;=G14,T8=3),2,T8)</f>
        <v>2</v>
      </c>
      <c r="T8" s="132">
        <v>3</v>
      </c>
    </row>
    <row r="9" spans="1:27" s="106" customFormat="1" x14ac:dyDescent="0.2">
      <c r="A9" s="84"/>
      <c r="B9" s="85"/>
      <c r="C9" s="86"/>
      <c r="D9" s="87"/>
      <c r="E9" s="104"/>
      <c r="F9" s="127"/>
      <c r="G9" s="128"/>
      <c r="H9" s="116"/>
      <c r="I9" s="86"/>
      <c r="J9" s="71">
        <f>IF(J6&lt;=C4,D4,IF(J6&lt;=C5,D5,IF(J6&lt;=C6,D6,IF(J6&lt;=C7,D7,IF(J6&lt;=C8,D8,10.48%)))))</f>
        <v>7.0000000000000007E-2</v>
      </c>
      <c r="K9" s="63"/>
      <c r="L9" s="133"/>
      <c r="M9" s="134"/>
      <c r="N9" s="134"/>
      <c r="O9" s="135">
        <f>IF('Simulador CEF'!$H$3="TABELA SAC",80%,80%)</f>
        <v>0.8</v>
      </c>
      <c r="P9" s="1098"/>
      <c r="Q9" s="1099"/>
      <c r="S9" s="9"/>
      <c r="T9" s="9"/>
    </row>
    <row r="10" spans="1:27" ht="13.5" thickBot="1" x14ac:dyDescent="0.25">
      <c r="E10" s="104"/>
      <c r="F10" s="127"/>
      <c r="G10" s="136"/>
      <c r="H10" s="116"/>
      <c r="J10" s="137" t="s">
        <v>17</v>
      </c>
      <c r="L10" s="1104"/>
      <c r="M10" s="1105"/>
      <c r="N10" s="1106"/>
      <c r="O10" s="138">
        <f ca="1">SMALL(O4:O7,1)</f>
        <v>139215.62308659084</v>
      </c>
      <c r="S10" s="9"/>
      <c r="T10" s="9"/>
    </row>
    <row r="11" spans="1:27" x14ac:dyDescent="0.2">
      <c r="E11" s="104"/>
      <c r="F11" s="690" t="s">
        <v>3</v>
      </c>
      <c r="G11" s="691">
        <v>5.9499999999999997E-2</v>
      </c>
      <c r="H11" s="691">
        <f>G11</f>
        <v>5.9499999999999997E-2</v>
      </c>
      <c r="J11" s="140">
        <f>'Simulador CEF'!M8</f>
        <v>215530</v>
      </c>
      <c r="O11" s="592"/>
      <c r="P11" s="592"/>
      <c r="Q11" s="592"/>
      <c r="S11" s="141"/>
      <c r="T11" s="82"/>
    </row>
    <row r="12" spans="1:27" ht="25.5" x14ac:dyDescent="0.2">
      <c r="B12" s="393" t="s">
        <v>381</v>
      </c>
      <c r="C12" s="393" t="s">
        <v>382</v>
      </c>
      <c r="E12" s="104"/>
      <c r="F12" s="94" t="s">
        <v>6</v>
      </c>
      <c r="G12" s="139">
        <v>0.3</v>
      </c>
      <c r="H12" s="139">
        <f>G12</f>
        <v>0.3</v>
      </c>
      <c r="J12" s="137" t="s">
        <v>16</v>
      </c>
      <c r="O12" s="593"/>
      <c r="P12" s="592"/>
      <c r="Q12" s="592"/>
      <c r="S12" s="142"/>
      <c r="T12" s="82"/>
    </row>
    <row r="13" spans="1:27" s="106" customFormat="1" ht="25.5" x14ac:dyDescent="0.2">
      <c r="A13" s="84"/>
      <c r="B13" s="394"/>
      <c r="C13" s="394">
        <v>0.5</v>
      </c>
      <c r="D13" s="87"/>
      <c r="E13" s="104"/>
      <c r="F13" s="94" t="s">
        <v>9</v>
      </c>
      <c r="G13" s="143">
        <v>998</v>
      </c>
      <c r="H13" s="143">
        <f>SM</f>
        <v>998</v>
      </c>
      <c r="I13" s="86"/>
      <c r="J13" s="140">
        <f>VLOOKUP('Simulador CEF'!H8,Apoio!C9:E500,3,FALSE)</f>
        <v>220000</v>
      </c>
      <c r="K13" s="84"/>
      <c r="M13" s="163"/>
      <c r="O13" s="614" t="s">
        <v>765</v>
      </c>
      <c r="P13" s="594"/>
      <c r="Q13" s="595"/>
      <c r="S13" s="379"/>
      <c r="T13" s="9"/>
    </row>
    <row r="14" spans="1:27" x14ac:dyDescent="0.2">
      <c r="B14" s="116">
        <v>29000</v>
      </c>
      <c r="C14" s="116">
        <f>B14*$C$13</f>
        <v>14500</v>
      </c>
      <c r="E14" s="104"/>
      <c r="F14" s="145" t="s">
        <v>85</v>
      </c>
      <c r="G14" s="146">
        <f>6*G13</f>
        <v>5988</v>
      </c>
      <c r="H14" s="146">
        <f>G14</f>
        <v>5988</v>
      </c>
      <c r="J14" s="147"/>
      <c r="L14" s="376"/>
      <c r="O14" s="617">
        <v>420</v>
      </c>
      <c r="P14" s="596"/>
      <c r="Q14" s="592"/>
      <c r="S14" s="9"/>
      <c r="T14" s="9"/>
    </row>
    <row r="15" spans="1:27" ht="18" x14ac:dyDescent="0.2">
      <c r="B15" s="116">
        <v>14775</v>
      </c>
      <c r="C15" s="116">
        <f>B15*$C$13</f>
        <v>7387.5</v>
      </c>
      <c r="E15" s="104"/>
      <c r="F15" s="145" t="s">
        <v>95</v>
      </c>
      <c r="G15" s="148">
        <v>0.06</v>
      </c>
      <c r="H15" s="148">
        <f>INCC</f>
        <v>0.06</v>
      </c>
      <c r="J15" s="1090" t="s">
        <v>114</v>
      </c>
      <c r="O15" s="615" t="s">
        <v>766</v>
      </c>
      <c r="P15" s="597"/>
      <c r="Q15" s="597"/>
    </row>
    <row r="16" spans="1:27" ht="18" x14ac:dyDescent="0.2">
      <c r="B16" s="116">
        <v>6115</v>
      </c>
      <c r="C16" s="116">
        <f>B16*$C$13</f>
        <v>3057.5</v>
      </c>
      <c r="E16" s="104"/>
      <c r="F16" s="145" t="s">
        <v>14</v>
      </c>
      <c r="G16" s="148">
        <v>0.8</v>
      </c>
      <c r="H16" s="148">
        <f>OBRA_VGV</f>
        <v>0.8</v>
      </c>
      <c r="J16" s="1090"/>
      <c r="L16" s="111" t="s">
        <v>91</v>
      </c>
      <c r="M16" s="111" t="s">
        <v>92</v>
      </c>
      <c r="O16" s="616">
        <f ca="1">IF('Simulador CEF'!CU87+O14+J28&lt;=972,O14,(972-'Simulador CEF'!CU87-J28))</f>
        <v>420</v>
      </c>
      <c r="P16" s="598"/>
      <c r="Q16" s="598"/>
    </row>
    <row r="17" spans="1:20" x14ac:dyDescent="0.2">
      <c r="B17" s="116">
        <v>2585</v>
      </c>
      <c r="C17" s="116">
        <f>B17*$C$13</f>
        <v>1292.5</v>
      </c>
      <c r="E17" s="104"/>
      <c r="F17" s="149" t="s">
        <v>1</v>
      </c>
      <c r="G17" s="689">
        <f>IF(OR('Simulador CEF'!E21=2,'Simulador CEF'!E22="SIM"),IF(J6&lt;=1800,B14,IF(J6&lt;2349.99,B14-(B14-B15)*(J6-1800)/550,IF(J6&lt;2789.99,B15-(B15-B16)*(J6-2350)/440,IF(J6&lt;3274.99,B16-(B16-B17)*(J6-2790)/485,IF(J6&lt;=4000,B17,0))))),IF('Simulador CEF'!E21=1,IF(J6&lt;=1800,C14,IF(J6&lt;2349.99,C14-(C14-C15)*(J6-1800)/550,IF(J6&lt;2789.99,C15-(C15-C16)*(J6-2350)/440,IF(J6&lt;3274.99,C16-(C16-C17)*(J6-2790)/485,IF(J6&lt;=4000,C17,0)))))))</f>
        <v>1292.5</v>
      </c>
      <c r="H17" s="689">
        <f>G17</f>
        <v>1292.5</v>
      </c>
      <c r="J17" s="150">
        <f>IF('Simulador CEF'!F31="sim",IF(AND(J11*(1-G29)&lt;=J3,J13&lt;=J3),IF(J3=VMI,G17,H17),0),0)</f>
        <v>1292.5</v>
      </c>
      <c r="L17" s="151">
        <f ca="1">((J6*'Premissas e Calculos'!G12)-IF(J6&gt;2790,H19,0))/(1+Q32)</f>
        <v>1198.801198801199</v>
      </c>
      <c r="M17" s="152">
        <f ca="1">IF(J6&lt;='Premissas e Calculos'!G20,'Premissas e Calculos'!L17,'Premissas e Calculos'!L17-'Premissas e Calculos'!G19)</f>
        <v>1198.801198801199</v>
      </c>
      <c r="O17" s="592"/>
      <c r="P17" s="599"/>
      <c r="Q17" s="599"/>
    </row>
    <row r="18" spans="1:20" ht="25.5" customHeight="1" x14ac:dyDescent="0.2">
      <c r="E18" s="104"/>
      <c r="J18" s="137" t="s">
        <v>102</v>
      </c>
      <c r="L18" s="1084" t="s">
        <v>147</v>
      </c>
      <c r="M18" s="1085"/>
      <c r="O18" s="592"/>
      <c r="P18" s="596"/>
      <c r="Q18" s="600"/>
    </row>
    <row r="19" spans="1:20" s="106" customFormat="1" x14ac:dyDescent="0.2">
      <c r="A19" s="84"/>
      <c r="B19" s="85"/>
      <c r="C19" s="86"/>
      <c r="D19" s="87"/>
      <c r="E19" s="104"/>
      <c r="F19" s="143" t="s">
        <v>123</v>
      </c>
      <c r="G19" s="143">
        <v>0</v>
      </c>
      <c r="H19" s="143">
        <v>0</v>
      </c>
      <c r="I19" s="86"/>
      <c r="J19" s="153">
        <f>O3</f>
        <v>360</v>
      </c>
      <c r="K19" s="84"/>
      <c r="L19" s="154">
        <f>J6*0.9*G12</f>
        <v>1080</v>
      </c>
      <c r="M19" s="154">
        <f>IF(J6&lt;='Premissas e Calculos'!G20,'Premissas e Calculos'!L19,'Premissas e Calculos'!L19-'Premissas e Calculos'!G19)+J33*70%/12</f>
        <v>1126.6666666666667</v>
      </c>
      <c r="O19" s="595"/>
      <c r="P19" s="595"/>
      <c r="Q19" s="595"/>
    </row>
    <row r="20" spans="1:20" x14ac:dyDescent="0.2">
      <c r="E20" s="104"/>
      <c r="F20" s="143" t="s">
        <v>124</v>
      </c>
      <c r="G20" s="155">
        <f>G14</f>
        <v>5988</v>
      </c>
      <c r="H20" s="155">
        <f>G20</f>
        <v>5988</v>
      </c>
      <c r="J20" s="137" t="s">
        <v>8</v>
      </c>
      <c r="O20" s="592"/>
      <c r="P20" s="592"/>
      <c r="Q20" s="592"/>
      <c r="T20" s="378"/>
    </row>
    <row r="21" spans="1:20" x14ac:dyDescent="0.2">
      <c r="E21" s="104"/>
      <c r="J21" s="156">
        <f>'Simulador CEF'!M18</f>
        <v>30000</v>
      </c>
      <c r="O21" s="592"/>
      <c r="P21" s="592"/>
      <c r="Q21" s="592"/>
    </row>
    <row r="22" spans="1:20" ht="31.5" customHeight="1" x14ac:dyDescent="0.2">
      <c r="E22" s="104"/>
      <c r="J22" s="157"/>
      <c r="O22" s="196" t="s">
        <v>222</v>
      </c>
      <c r="P22" s="196" t="s">
        <v>223</v>
      </c>
      <c r="Q22" s="196" t="s">
        <v>224</v>
      </c>
      <c r="R22" s="196" t="s">
        <v>15</v>
      </c>
    </row>
    <row r="23" spans="1:20" x14ac:dyDescent="0.2">
      <c r="E23" s="104"/>
      <c r="J23" s="157"/>
      <c r="O23" s="197">
        <v>0</v>
      </c>
      <c r="P23" s="198">
        <v>0.1</v>
      </c>
      <c r="Q23" s="198">
        <v>0</v>
      </c>
      <c r="R23" s="198">
        <f>Q23+P23</f>
        <v>0.1</v>
      </c>
    </row>
    <row r="24" spans="1:20" x14ac:dyDescent="0.2">
      <c r="E24" s="104"/>
      <c r="J24" s="137" t="s">
        <v>169</v>
      </c>
      <c r="L24" s="158"/>
      <c r="M24" s="158"/>
      <c r="N24" s="158"/>
      <c r="O24" s="197">
        <f>25 + 1/10^6</f>
        <v>25.000001000000001</v>
      </c>
      <c r="P24" s="198">
        <v>0.1</v>
      </c>
      <c r="Q24" s="198">
        <v>0</v>
      </c>
      <c r="R24" s="198">
        <f t="shared" ref="R24:R29" si="0">Q24+P24</f>
        <v>0.1</v>
      </c>
    </row>
    <row r="25" spans="1:20" s="106" customFormat="1" x14ac:dyDescent="0.2">
      <c r="A25" s="84"/>
      <c r="B25" s="85"/>
      <c r="C25" s="86"/>
      <c r="D25" s="87"/>
      <c r="E25" s="104"/>
      <c r="F25" s="1095" t="s">
        <v>156</v>
      </c>
      <c r="G25" s="1107">
        <v>0.04</v>
      </c>
      <c r="H25" s="159"/>
      <c r="I25" s="86"/>
      <c r="J25" s="160">
        <f>MINA(J11*(1-G25)-J17,J13)</f>
        <v>205616.3</v>
      </c>
      <c r="K25" s="84"/>
      <c r="L25" s="144"/>
      <c r="M25" s="144"/>
      <c r="N25" s="144"/>
      <c r="O25" s="197">
        <f>30+ 1/10^6</f>
        <v>30.000001000000001</v>
      </c>
      <c r="P25" s="198">
        <v>0.11</v>
      </c>
      <c r="Q25" s="198">
        <v>0</v>
      </c>
      <c r="R25" s="198">
        <f t="shared" si="0"/>
        <v>0.11</v>
      </c>
    </row>
    <row r="26" spans="1:20" ht="23.25" x14ac:dyDescent="0.2">
      <c r="F26" s="1095"/>
      <c r="G26" s="1108"/>
      <c r="J26" s="157"/>
      <c r="L26" s="165"/>
      <c r="M26" s="195"/>
      <c r="N26" s="195"/>
      <c r="O26" s="197">
        <f>35+ 1/10^6</f>
        <v>35.000000999999997</v>
      </c>
      <c r="P26" s="199">
        <v>0.25</v>
      </c>
      <c r="Q26" s="198">
        <v>0</v>
      </c>
      <c r="R26" s="198">
        <f t="shared" si="0"/>
        <v>0.25</v>
      </c>
      <c r="S26" s="397"/>
    </row>
    <row r="27" spans="1:20" x14ac:dyDescent="0.2">
      <c r="F27" s="1095"/>
      <c r="G27" s="1109"/>
      <c r="J27" s="137" t="s">
        <v>170</v>
      </c>
      <c r="L27" s="165"/>
      <c r="M27" s="158"/>
      <c r="N27" s="158"/>
      <c r="O27" s="197">
        <f>40+ 1/10^6</f>
        <v>40.000000999999997</v>
      </c>
      <c r="P27" s="199">
        <v>0.34</v>
      </c>
      <c r="Q27" s="198">
        <v>0</v>
      </c>
      <c r="R27" s="198">
        <f t="shared" si="0"/>
        <v>0.34</v>
      </c>
    </row>
    <row r="28" spans="1:20" x14ac:dyDescent="0.2">
      <c r="J28" s="156">
        <v>36</v>
      </c>
      <c r="L28" s="158"/>
      <c r="M28" s="396"/>
      <c r="N28" s="158"/>
      <c r="O28" s="197">
        <f>45+ 1/10^6</f>
        <v>45.000000999999997</v>
      </c>
      <c r="P28" s="198">
        <v>0.37009999999999998</v>
      </c>
      <c r="Q28" s="198">
        <v>0</v>
      </c>
      <c r="R28" s="198">
        <f t="shared" si="0"/>
        <v>0.37009999999999998</v>
      </c>
    </row>
    <row r="29" spans="1:20" s="106" customFormat="1" x14ac:dyDescent="0.2">
      <c r="A29" s="84"/>
      <c r="B29" s="85"/>
      <c r="C29" s="86"/>
      <c r="D29" s="87"/>
      <c r="F29" s="692" t="s">
        <v>3</v>
      </c>
      <c r="G29" s="693">
        <f>G11</f>
        <v>5.9499999999999997E-2</v>
      </c>
      <c r="H29" s="159"/>
      <c r="I29" s="86"/>
      <c r="J29" s="161" t="s">
        <v>13</v>
      </c>
      <c r="K29" s="84"/>
      <c r="O29" s="197">
        <v>50</v>
      </c>
      <c r="P29" s="198">
        <v>0.37009999999999998</v>
      </c>
      <c r="Q29" s="198">
        <v>0</v>
      </c>
      <c r="R29" s="198">
        <f t="shared" si="0"/>
        <v>0.37009999999999998</v>
      </c>
      <c r="T29" s="106">
        <f>2019-46</f>
        <v>1973</v>
      </c>
    </row>
    <row r="30" spans="1:20" x14ac:dyDescent="0.2">
      <c r="J30" s="156">
        <v>4</v>
      </c>
    </row>
    <row r="31" spans="1:20" x14ac:dyDescent="0.2">
      <c r="J31" s="157"/>
      <c r="O31" s="1093" t="s">
        <v>741</v>
      </c>
      <c r="P31" s="1094"/>
      <c r="Q31" s="196" t="s">
        <v>225</v>
      </c>
      <c r="R31" s="196" t="s">
        <v>226</v>
      </c>
    </row>
    <row r="32" spans="1:20" ht="25.5" x14ac:dyDescent="0.2">
      <c r="F32" s="162" t="s">
        <v>193</v>
      </c>
      <c r="G32" s="220">
        <v>1</v>
      </c>
      <c r="J32" s="574" t="s">
        <v>760</v>
      </c>
      <c r="O32" s="1091">
        <f ca="1">YEAR(TODAY())-'Simulador CEF'!G20</f>
        <v>22</v>
      </c>
      <c r="P32" s="1092"/>
      <c r="Q32" s="201">
        <f ca="1">IF(O32&lt;O24,R23,IF(O32&lt;O25,R24,IF(O32&lt;O26,R25,IF(O32&lt;O27,R26,IF(O32&lt;O28,R27,IF(O32&lt;O29,R28,R29))))))/100</f>
        <v>1E-3</v>
      </c>
      <c r="R32" s="200">
        <f ca="1">(J6*'Premissas e Calculos'!G12)*Q32</f>
        <v>1.2</v>
      </c>
    </row>
    <row r="33" spans="1:18" ht="51" customHeight="1" x14ac:dyDescent="0.2">
      <c r="J33" s="575">
        <v>800</v>
      </c>
      <c r="O33" s="1083" t="s">
        <v>227</v>
      </c>
      <c r="P33" s="1083"/>
      <c r="Q33" s="1083"/>
      <c r="R33" s="1083"/>
    </row>
    <row r="34" spans="1:18" s="106" customFormat="1" x14ac:dyDescent="0.2">
      <c r="A34" s="84"/>
      <c r="B34" s="85"/>
      <c r="C34" s="86"/>
      <c r="D34" s="87"/>
      <c r="E34" s="163"/>
      <c r="H34" s="159"/>
      <c r="I34" s="86"/>
      <c r="J34" s="391"/>
      <c r="K34" s="84"/>
      <c r="M34" s="84"/>
    </row>
    <row r="35" spans="1:18" ht="25.5" customHeight="1" x14ac:dyDescent="0.2">
      <c r="F35" s="162" t="s">
        <v>199</v>
      </c>
      <c r="G35" s="164">
        <v>0.3</v>
      </c>
      <c r="J35" s="390"/>
    </row>
    <row r="36" spans="1:18" x14ac:dyDescent="0.2">
      <c r="J36" s="390"/>
    </row>
    <row r="37" spans="1:18" x14ac:dyDescent="0.2">
      <c r="J37" s="390"/>
    </row>
    <row r="38" spans="1:18" x14ac:dyDescent="0.2">
      <c r="F38" s="193" t="s">
        <v>217</v>
      </c>
      <c r="G38" s="229">
        <f ca="1">EOMONTH(TODAY(),0)</f>
        <v>43830</v>
      </c>
      <c r="J38" s="390"/>
    </row>
    <row r="39" spans="1:18" s="106" customFormat="1" x14ac:dyDescent="0.2">
      <c r="A39" s="84"/>
      <c r="B39" s="85"/>
      <c r="C39" s="86"/>
      <c r="D39" s="87"/>
      <c r="H39" s="159"/>
      <c r="I39" s="86"/>
      <c r="J39" s="391"/>
      <c r="K39" s="84"/>
      <c r="M39" s="84"/>
    </row>
    <row r="40" spans="1:18" x14ac:dyDescent="0.2">
      <c r="J40" s="390"/>
    </row>
    <row r="41" spans="1:18" x14ac:dyDescent="0.2">
      <c r="J41" s="390"/>
    </row>
    <row r="42" spans="1:18" x14ac:dyDescent="0.2">
      <c r="J42" s="390"/>
    </row>
    <row r="43" spans="1:18" x14ac:dyDescent="0.2">
      <c r="J43" s="390"/>
    </row>
    <row r="44" spans="1:18" x14ac:dyDescent="0.2">
      <c r="J44" s="390"/>
    </row>
    <row r="45" spans="1:18" x14ac:dyDescent="0.2">
      <c r="J45" s="390"/>
    </row>
    <row r="46" spans="1:18" x14ac:dyDescent="0.2">
      <c r="J46" s="390"/>
    </row>
    <row r="47" spans="1:18" x14ac:dyDescent="0.2">
      <c r="J47" s="390"/>
    </row>
    <row r="48" spans="1:18" x14ac:dyDescent="0.2">
      <c r="J48" s="390"/>
    </row>
    <row r="49" spans="10:11" x14ac:dyDescent="0.2">
      <c r="J49" s="390"/>
    </row>
    <row r="58" spans="10:11" x14ac:dyDescent="0.2">
      <c r="K58" s="194"/>
    </row>
  </sheetData>
  <mergeCells count="15">
    <mergeCell ref="F25:F27"/>
    <mergeCell ref="P8:Q9"/>
    <mergeCell ref="P3:Q3"/>
    <mergeCell ref="L2:Q2"/>
    <mergeCell ref="J15:J16"/>
    <mergeCell ref="L10:N10"/>
    <mergeCell ref="G25:G27"/>
    <mergeCell ref="S2:T2"/>
    <mergeCell ref="O33:R33"/>
    <mergeCell ref="L18:M18"/>
    <mergeCell ref="V3:W3"/>
    <mergeCell ref="J4:J5"/>
    <mergeCell ref="J7:J8"/>
    <mergeCell ref="O32:P32"/>
    <mergeCell ref="O31:P31"/>
  </mergeCells>
  <phoneticPr fontId="2" type="noConversion"/>
  <printOptions horizontalCentered="1"/>
  <pageMargins left="0.11811023622047245" right="0.11811023622047245" top="0.26" bottom="0.11811023622047245" header="0.11811023622047245" footer="3.937007874015748E-2"/>
  <pageSetup scale="83" orientation="landscape" r:id="rId1"/>
  <headerFooter alignWithMargins="0"/>
  <ignoredErrors>
    <ignoredError sqref="H1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>
    <pageSetUpPr fitToPage="1"/>
  </sheetPr>
  <dimension ref="A1:AA88"/>
  <sheetViews>
    <sheetView showGridLines="0" topLeftCell="A7" zoomScale="80" zoomScaleNormal="80" workbookViewId="0">
      <selection activeCell="M17" sqref="M17"/>
    </sheetView>
  </sheetViews>
  <sheetFormatPr defaultRowHeight="12.75" x14ac:dyDescent="0.2"/>
  <cols>
    <col min="1" max="1" width="2" style="328" customWidth="1"/>
    <col min="2" max="2" width="2.85546875" style="230" customWidth="1"/>
    <col min="3" max="3" width="7.7109375" style="230" customWidth="1"/>
    <col min="4" max="4" width="11.28515625" style="230" customWidth="1"/>
    <col min="5" max="5" width="9.5703125" style="230" bestFit="1" customWidth="1"/>
    <col min="6" max="6" width="10.140625" style="230" bestFit="1" customWidth="1"/>
    <col min="7" max="7" width="15.5703125" style="230" customWidth="1"/>
    <col min="8" max="13" width="15.7109375" style="230" customWidth="1"/>
    <col min="14" max="15" width="9.28515625" style="230" customWidth="1"/>
    <col min="16" max="16" width="20.7109375" style="230" bestFit="1" customWidth="1"/>
    <col min="17" max="17" width="13.5703125" style="230" bestFit="1" customWidth="1"/>
    <col min="18" max="18" width="12.85546875" style="230" bestFit="1" customWidth="1"/>
    <col min="19" max="19" width="22.85546875" style="230" bestFit="1" customWidth="1"/>
    <col min="20" max="16384" width="9.140625" style="230"/>
  </cols>
  <sheetData>
    <row r="1" spans="1:27" ht="15.75" x14ac:dyDescent="0.25">
      <c r="A1" s="230" t="s">
        <v>20</v>
      </c>
      <c r="E1" s="231" t="s">
        <v>21</v>
      </c>
      <c r="F1" s="232"/>
      <c r="G1" s="232"/>
      <c r="H1" s="232"/>
      <c r="I1" s="232"/>
      <c r="J1" s="232"/>
      <c r="K1" s="232"/>
      <c r="L1" s="232"/>
      <c r="M1" s="232"/>
    </row>
    <row r="2" spans="1:27" ht="15.75" x14ac:dyDescent="0.25">
      <c r="A2" s="230" t="s">
        <v>20</v>
      </c>
      <c r="E2" s="231" t="s">
        <v>22</v>
      </c>
      <c r="F2" s="232"/>
      <c r="G2" s="232"/>
      <c r="H2" s="232"/>
      <c r="I2" s="232"/>
      <c r="J2" s="232"/>
      <c r="K2" s="232"/>
      <c r="L2" s="232"/>
      <c r="M2" s="232"/>
    </row>
    <row r="3" spans="1:27" ht="15.75" x14ac:dyDescent="0.25">
      <c r="A3" s="230" t="s">
        <v>20</v>
      </c>
      <c r="L3" s="1147">
        <f ca="1">NOW()</f>
        <v>43802.632398032409</v>
      </c>
      <c r="M3" s="1147"/>
      <c r="N3" s="1142" t="s">
        <v>23</v>
      </c>
      <c r="O3" s="1142"/>
    </row>
    <row r="4" spans="1:27" ht="15.75" thickBot="1" x14ac:dyDescent="0.25">
      <c r="A4" s="230" t="s">
        <v>20</v>
      </c>
      <c r="L4" s="233"/>
      <c r="M4" s="233"/>
      <c r="N4" s="234"/>
      <c r="O4" s="234"/>
    </row>
    <row r="5" spans="1:27" ht="15.75" thickTop="1" x14ac:dyDescent="0.2">
      <c r="A5" s="230" t="s">
        <v>20</v>
      </c>
      <c r="E5" s="235" t="s">
        <v>24</v>
      </c>
      <c r="F5" s="236"/>
      <c r="G5" s="237" t="e">
        <f>'Simulador CEF'!H6:L6</f>
        <v>#VALUE!</v>
      </c>
      <c r="H5" s="237"/>
      <c r="I5" s="238"/>
      <c r="J5" s="239" t="s">
        <v>25</v>
      </c>
      <c r="K5" s="236"/>
      <c r="L5" s="240" t="s">
        <v>26</v>
      </c>
      <c r="M5" s="241"/>
      <c r="N5" s="234"/>
      <c r="O5" s="234"/>
      <c r="Y5" s="230" t="s">
        <v>27</v>
      </c>
      <c r="Z5" s="230" t="s">
        <v>28</v>
      </c>
      <c r="AA5" s="230" t="s">
        <v>29</v>
      </c>
    </row>
    <row r="6" spans="1:27" ht="15" x14ac:dyDescent="0.2">
      <c r="A6" s="230" t="s">
        <v>20</v>
      </c>
      <c r="E6" s="242" t="s">
        <v>30</v>
      </c>
      <c r="F6" s="243"/>
      <c r="G6" s="243"/>
      <c r="H6" s="243"/>
      <c r="I6" s="244"/>
      <c r="J6" s="243" t="s">
        <v>31</v>
      </c>
      <c r="K6" s="243"/>
      <c r="L6" s="245"/>
      <c r="M6" s="246"/>
      <c r="N6" s="234"/>
      <c r="O6" s="234"/>
      <c r="Y6" s="230" t="s">
        <v>32</v>
      </c>
      <c r="Z6" s="230" t="s">
        <v>33</v>
      </c>
      <c r="AA6" s="230" t="s">
        <v>34</v>
      </c>
    </row>
    <row r="7" spans="1:27" ht="15" x14ac:dyDescent="0.2">
      <c r="A7" s="230" t="s">
        <v>20</v>
      </c>
      <c r="E7" s="242" t="s">
        <v>35</v>
      </c>
      <c r="F7" s="243"/>
      <c r="G7" s="247"/>
      <c r="H7" s="243"/>
      <c r="I7" s="244"/>
      <c r="J7" s="243" t="s">
        <v>36</v>
      </c>
      <c r="K7" s="243"/>
      <c r="L7" s="245"/>
      <c r="M7" s="246"/>
      <c r="N7" s="234"/>
      <c r="O7" s="234"/>
      <c r="Y7" s="230" t="s">
        <v>37</v>
      </c>
      <c r="AA7" s="230" t="s">
        <v>38</v>
      </c>
    </row>
    <row r="8" spans="1:27" ht="15.75" thickBot="1" x14ac:dyDescent="0.25">
      <c r="A8" s="230" t="s">
        <v>20</v>
      </c>
      <c r="E8" s="248"/>
      <c r="F8" s="249"/>
      <c r="G8" s="249"/>
      <c r="H8" s="249"/>
      <c r="I8" s="250"/>
      <c r="J8" s="251" t="s">
        <v>83</v>
      </c>
      <c r="K8" s="243"/>
      <c r="L8" s="245"/>
      <c r="M8" s="246"/>
      <c r="N8" s="234"/>
      <c r="O8" s="234"/>
      <c r="Y8" s="230" t="s">
        <v>39</v>
      </c>
      <c r="AA8" s="230" t="s">
        <v>40</v>
      </c>
    </row>
    <row r="9" spans="1:27" ht="16.5" thickTop="1" x14ac:dyDescent="0.25">
      <c r="A9" s="230" t="s">
        <v>20</v>
      </c>
      <c r="E9" s="242" t="s">
        <v>41</v>
      </c>
      <c r="F9" s="243"/>
      <c r="G9" s="350">
        <v>42767</v>
      </c>
      <c r="H9" s="235" t="s">
        <v>42</v>
      </c>
      <c r="I9" s="253">
        <v>0.09</v>
      </c>
      <c r="J9" s="235" t="s">
        <v>43</v>
      </c>
      <c r="K9" s="388">
        <f>G11</f>
        <v>44682</v>
      </c>
      <c r="L9" s="1148" t="s">
        <v>84</v>
      </c>
      <c r="M9" s="1149"/>
      <c r="Y9" s="230" t="s">
        <v>44</v>
      </c>
    </row>
    <row r="10" spans="1:27" ht="15" x14ac:dyDescent="0.2">
      <c r="A10" s="230" t="s">
        <v>20</v>
      </c>
      <c r="E10" s="242" t="s">
        <v>45</v>
      </c>
      <c r="F10" s="243"/>
      <c r="G10" s="252" t="e">
        <f>'Simulador CEF'!#REF!</f>
        <v>#REF!</v>
      </c>
      <c r="H10" s="242" t="s">
        <v>46</v>
      </c>
      <c r="I10" s="254">
        <v>0.12</v>
      </c>
      <c r="J10" s="242" t="s">
        <v>47</v>
      </c>
      <c r="K10" s="389">
        <f>G11</f>
        <v>44682</v>
      </c>
      <c r="L10" s="255"/>
      <c r="M10" s="256"/>
    </row>
    <row r="11" spans="1:27" ht="15.75" thickBot="1" x14ac:dyDescent="0.25">
      <c r="A11" s="230" t="s">
        <v>20</v>
      </c>
      <c r="E11" s="248" t="s">
        <v>48</v>
      </c>
      <c r="F11" s="249"/>
      <c r="G11" s="387">
        <v>44682</v>
      </c>
      <c r="H11" s="257" t="s">
        <v>49</v>
      </c>
      <c r="I11" s="258">
        <f>+J34</f>
        <v>212297.04999999996</v>
      </c>
      <c r="J11" s="248"/>
      <c r="K11" s="250"/>
      <c r="L11" s="259"/>
      <c r="M11" s="260"/>
    </row>
    <row r="12" spans="1:27" ht="13.5" thickTop="1" x14ac:dyDescent="0.2">
      <c r="A12" s="230" t="s">
        <v>20</v>
      </c>
      <c r="E12" s="261"/>
      <c r="F12" s="262"/>
      <c r="H12" s="263"/>
      <c r="I12" s="264"/>
    </row>
    <row r="13" spans="1:27" ht="16.5" thickBot="1" x14ac:dyDescent="0.3">
      <c r="A13" s="230" t="s">
        <v>20</v>
      </c>
      <c r="E13" s="231" t="s">
        <v>50</v>
      </c>
      <c r="F13" s="232"/>
      <c r="G13" s="232"/>
      <c r="H13" s="232"/>
      <c r="I13" s="232"/>
      <c r="J13" s="232"/>
      <c r="K13" s="232"/>
      <c r="L13" s="232"/>
      <c r="M13" s="232"/>
    </row>
    <row r="14" spans="1:27" ht="13.5" thickTop="1" x14ac:dyDescent="0.2">
      <c r="A14" s="230" t="s">
        <v>20</v>
      </c>
      <c r="E14" s="1114" t="s">
        <v>51</v>
      </c>
      <c r="F14" s="1114" t="s">
        <v>52</v>
      </c>
      <c r="G14" s="1114"/>
      <c r="H14" s="265" t="s">
        <v>53</v>
      </c>
      <c r="I14" s="1136" t="s">
        <v>54</v>
      </c>
      <c r="J14" s="1136"/>
      <c r="K14" s="1136" t="s">
        <v>55</v>
      </c>
      <c r="L14" s="1136"/>
      <c r="M14" s="1114" t="s">
        <v>56</v>
      </c>
    </row>
    <row r="15" spans="1:27" x14ac:dyDescent="0.2">
      <c r="A15" s="230" t="s">
        <v>20</v>
      </c>
      <c r="E15" s="1115"/>
      <c r="F15" s="1115"/>
      <c r="G15" s="1115"/>
      <c r="H15" s="266" t="s">
        <v>57</v>
      </c>
      <c r="I15" s="266" t="s">
        <v>58</v>
      </c>
      <c r="J15" s="266" t="s">
        <v>15</v>
      </c>
      <c r="K15" s="266" t="s">
        <v>58</v>
      </c>
      <c r="L15" s="266" t="s">
        <v>15</v>
      </c>
      <c r="M15" s="1115"/>
    </row>
    <row r="16" spans="1:27" x14ac:dyDescent="0.2">
      <c r="A16" s="230" t="str">
        <f t="shared" ref="A16:A34" si="0">IF(E16="","",IF(E16=0,"","*"))</f>
        <v>*</v>
      </c>
      <c r="B16" s="230" t="str">
        <f t="shared" ref="B16:B33" ca="1" si="1">IF(H16&lt;=$E$81,"A","B")</f>
        <v>A</v>
      </c>
      <c r="C16" s="263">
        <f>13589.79/388279.75</f>
        <v>3.4999996780671672E-2</v>
      </c>
      <c r="D16" s="267">
        <f t="shared" ref="D16:D33" si="2">IF(F16="Chaves",((1+$I$9)^(1/12)-1),IF(F16="Anual",$I$9,IF(F16="Semestral",((1+$I$9)^(1/2)-1),IF(F16="Mensal",((1+$I$9)^(1/12)-1),IF(F16="Sinal",0)))))</f>
        <v>0</v>
      </c>
      <c r="E16" s="268">
        <f>'Simulador CEF'!I40</f>
        <v>1</v>
      </c>
      <c r="F16" s="269" t="s">
        <v>44</v>
      </c>
      <c r="G16" s="270" t="s">
        <v>28</v>
      </c>
      <c r="H16" s="271">
        <f ca="1">'Simulador CEF'!H40</f>
        <v>43802</v>
      </c>
      <c r="I16" s="272">
        <f>'Simulador CEF'!L40</f>
        <v>3232.95</v>
      </c>
      <c r="J16" s="273">
        <f t="shared" ref="J16:J31" si="3">I16*E16</f>
        <v>3232.95</v>
      </c>
      <c r="K16" s="273">
        <f ca="1">IF(H16&lt;=$E$81,I16,   -PMT(D16,E16, (-FV(((1+$I$9)^(1/12)-1),( VLOOKUP(H16,Mês,2) ),,M16)),,1)       )</f>
        <v>3232.95</v>
      </c>
      <c r="L16" s="273">
        <f ca="1">K16*E16</f>
        <v>3232.95</v>
      </c>
      <c r="M16" s="273" t="e">
        <f t="shared" ref="M16:M33" ca="1" si="4">IF(E16="",0,IF(H16&lt;=$E$81,-PV(((1+$I$9)^(1/12)-1),( VLOOKUP(H16,Mês,2) ),,(-PV((IF(F16="Anual",$I$9,IF(F16="Semestral",((1+$I$9)^(1/2)-1),((1+$I$9)^(1/12)-1)))),E16,I16,,1)),1),-PV(((1+$I$9)^(1/12)-1),( VLOOKUP($E$81,Mês,2) ),,J16,1)))</f>
        <v>#REF!</v>
      </c>
      <c r="N16" s="264"/>
    </row>
    <row r="17" spans="1:16" x14ac:dyDescent="0.2">
      <c r="A17" s="230" t="str">
        <f>IF(E19="","",IF(E19=0,"","*"))</f>
        <v>*</v>
      </c>
      <c r="B17" s="230" t="str">
        <f t="shared" ca="1" si="1"/>
        <v>A</v>
      </c>
      <c r="C17" s="263">
        <f>8736.29/388279.75</f>
        <v>2.2499988732350838E-2</v>
      </c>
      <c r="D17" s="267">
        <f t="shared" si="2"/>
        <v>7.2073233161367156E-3</v>
      </c>
      <c r="E17" s="268">
        <f>'Simulador CEF'!I42</f>
        <v>1</v>
      </c>
      <c r="F17" s="269" t="s">
        <v>37</v>
      </c>
      <c r="G17" s="270" t="s">
        <v>28</v>
      </c>
      <c r="H17" s="271">
        <f ca="1">'Simulador CEF'!H42</f>
        <v>43833</v>
      </c>
      <c r="I17" s="272">
        <f>'Simulador CEF'!L42</f>
        <v>3232.95</v>
      </c>
      <c r="J17" s="273">
        <f t="shared" ref="J17:J21" si="5">I17*E17</f>
        <v>3232.95</v>
      </c>
      <c r="K17" s="273">
        <f ca="1">IF(H17&lt;=$E$81,I17,   -PMT(D17,E17, (-FV(((1+$I$9)^(1/12)-1),( VLOOKUP(H17,Mês,2) ),,M17)),,1)       )</f>
        <v>3232.95</v>
      </c>
      <c r="L17" s="273">
        <f t="shared" ref="L17:L21" ca="1" si="6">K17*E17</f>
        <v>3232.95</v>
      </c>
      <c r="M17" s="273" t="e">
        <f t="shared" ca="1" si="4"/>
        <v>#REF!</v>
      </c>
      <c r="N17" s="264"/>
    </row>
    <row r="18" spans="1:16" x14ac:dyDescent="0.2">
      <c r="A18" s="230" t="e">
        <f>IF(#REF!="","",IF(#REF!=0,"","*"))</f>
        <v>#REF!</v>
      </c>
      <c r="B18" s="230" t="str">
        <f t="shared" ca="1" si="1"/>
        <v>A</v>
      </c>
      <c r="C18" s="263">
        <f>8736.29/388279.75</f>
        <v>2.2499988732350838E-2</v>
      </c>
      <c r="D18" s="267">
        <f t="shared" si="2"/>
        <v>7.2073233161367156E-3</v>
      </c>
      <c r="E18" s="268">
        <f>'Simulador CEF'!I44</f>
        <v>1</v>
      </c>
      <c r="F18" s="269" t="s">
        <v>37</v>
      </c>
      <c r="G18" s="270" t="s">
        <v>33</v>
      </c>
      <c r="H18" s="271">
        <f ca="1">'Simulador CEF'!H44</f>
        <v>43864</v>
      </c>
      <c r="I18" s="272">
        <f>'Simulador CEF'!L44</f>
        <v>3232.95</v>
      </c>
      <c r="J18" s="273">
        <f t="shared" si="5"/>
        <v>3232.95</v>
      </c>
      <c r="K18" s="273">
        <f ca="1">IF(H18&lt;=$E$81,I18,   -PMT(D18,E18, (-FV(((1+$I$9)^(1/12)-1),( VLOOKUP(H18,Mês,2) ),,M18)),,1)       )</f>
        <v>3232.95</v>
      </c>
      <c r="L18" s="273">
        <f t="shared" ca="1" si="6"/>
        <v>3232.95</v>
      </c>
      <c r="M18" s="273" t="e">
        <f t="shared" ca="1" si="4"/>
        <v>#REF!</v>
      </c>
      <c r="N18" s="264"/>
    </row>
    <row r="19" spans="1:16" x14ac:dyDescent="0.2">
      <c r="A19" s="230" t="str">
        <f>IF(E20="","",IF(E20=0,"","*"))</f>
        <v>*</v>
      </c>
      <c r="B19" s="230" t="str">
        <f t="shared" ca="1" si="1"/>
        <v>A</v>
      </c>
      <c r="C19" s="263">
        <f>1698.72/388279.75</f>
        <v>4.3749899395989621E-3</v>
      </c>
      <c r="D19" s="267">
        <f t="shared" si="2"/>
        <v>0.09</v>
      </c>
      <c r="E19" s="268">
        <f>'Simulador CEF'!I48</f>
        <v>3</v>
      </c>
      <c r="F19" s="269" t="s">
        <v>27</v>
      </c>
      <c r="G19" s="270" t="s">
        <v>33</v>
      </c>
      <c r="H19" s="271">
        <f ca="1">'Simulador CEF'!H48</f>
        <v>43954</v>
      </c>
      <c r="I19" s="272">
        <f>'Simulador CEF'!L48</f>
        <v>2155.2999999999997</v>
      </c>
      <c r="J19" s="273">
        <f t="shared" si="5"/>
        <v>6465.9</v>
      </c>
      <c r="K19" s="273">
        <f ca="1">IF(H19&lt;=$E$81,I19,   -PMT(D17,E19, (-FV(((1+$I$9)^(1/12)-1),( VLOOKUP(H19,Mês,2) ),,M19)),,1)       )</f>
        <v>2155.2999999999997</v>
      </c>
      <c r="L19" s="273">
        <f t="shared" ca="1" si="6"/>
        <v>6465.9</v>
      </c>
      <c r="M19" s="273" t="e">
        <f t="shared" ca="1" si="4"/>
        <v>#REF!</v>
      </c>
      <c r="N19" s="264"/>
    </row>
    <row r="20" spans="1:16" x14ac:dyDescent="0.2">
      <c r="A20" s="230" t="str">
        <f>IF(E21="","",IF(E21=0,"","*"))</f>
        <v>*</v>
      </c>
      <c r="B20" s="230" t="str">
        <f t="shared" ca="1" si="1"/>
        <v>A</v>
      </c>
      <c r="C20" s="263">
        <f>38827.96/388279.75</f>
        <v>9.9999961368060011E-2</v>
      </c>
      <c r="D20" s="267">
        <f t="shared" si="2"/>
        <v>7.2073233161367156E-3</v>
      </c>
      <c r="E20" s="268">
        <f>'Simulador CEF'!I51</f>
        <v>26</v>
      </c>
      <c r="F20" s="269" t="s">
        <v>37</v>
      </c>
      <c r="G20" s="270" t="s">
        <v>33</v>
      </c>
      <c r="H20" s="271">
        <f ca="1">'Simulador CEF'!H51</f>
        <v>43924</v>
      </c>
      <c r="I20" s="272">
        <f>'Simulador CEF'!L51</f>
        <v>911.85769230769233</v>
      </c>
      <c r="J20" s="273">
        <f t="shared" si="5"/>
        <v>23708.3</v>
      </c>
      <c r="K20" s="273">
        <f ca="1">IF(H20&lt;=$E$81,I20,   -PMT(D19,E20, (-FV(((1+$I$9)^(1/12)-1),( VLOOKUP(H20,Mês,2) ),,M20)),,1)       )</f>
        <v>911.85769230769233</v>
      </c>
      <c r="L20" s="273">
        <f t="shared" ca="1" si="6"/>
        <v>23708.3</v>
      </c>
      <c r="M20" s="273" t="e">
        <f t="shared" ca="1" si="4"/>
        <v>#REF!</v>
      </c>
      <c r="N20" s="264"/>
      <c r="P20" s="298"/>
    </row>
    <row r="21" spans="1:16" x14ac:dyDescent="0.2">
      <c r="A21" s="230" t="e">
        <f>IF(#REF!="","",IF(#REF!=0,"","*"))</f>
        <v>#REF!</v>
      </c>
      <c r="B21" s="230" t="str">
        <f t="shared" ca="1" si="1"/>
        <v>A</v>
      </c>
      <c r="C21" s="263">
        <f>10677.69/388279.75</f>
        <v>2.7499991951679171E-2</v>
      </c>
      <c r="D21" s="267">
        <f t="shared" si="2"/>
        <v>7.2073233161367156E-3</v>
      </c>
      <c r="E21" s="268">
        <f>'Simulador CEF'!I54</f>
        <v>1</v>
      </c>
      <c r="F21" s="269" t="s">
        <v>32</v>
      </c>
      <c r="G21" s="270" t="s">
        <v>33</v>
      </c>
      <c r="H21" s="271">
        <f ca="1">'Simulador CEF'!H54</f>
        <v>43924</v>
      </c>
      <c r="I21" s="272">
        <f>'Simulador CEF'!L54</f>
        <v>172423.99999999997</v>
      </c>
      <c r="J21" s="273">
        <f t="shared" si="5"/>
        <v>172423.99999999997</v>
      </c>
      <c r="K21" s="273">
        <f ca="1">IF(H21&lt;=$E$81,I21,   -PMT(D20,E21, (-FV(((1+$I$9)^(1/12)-1),( VLOOKUP(H21,Mês,2) ),,M21)),,1)       )</f>
        <v>172423.99999999997</v>
      </c>
      <c r="L21" s="273">
        <f t="shared" ca="1" si="6"/>
        <v>172423.99999999997</v>
      </c>
      <c r="M21" s="273" t="e">
        <f t="shared" ca="1" si="4"/>
        <v>#REF!</v>
      </c>
      <c r="N21" s="274"/>
      <c r="O21" s="275" t="s">
        <v>59</v>
      </c>
    </row>
    <row r="22" spans="1:16" x14ac:dyDescent="0.2">
      <c r="A22" s="230" t="str">
        <f t="shared" si="0"/>
        <v/>
      </c>
      <c r="B22" s="230" t="str">
        <f t="shared" si="1"/>
        <v>A</v>
      </c>
      <c r="C22" s="263">
        <f t="shared" ref="C22:C33" si="7">0/388279.75</f>
        <v>0</v>
      </c>
      <c r="D22" s="267" t="b">
        <f t="shared" si="2"/>
        <v>0</v>
      </c>
      <c r="E22" s="269"/>
      <c r="F22" s="269"/>
      <c r="G22" s="270"/>
      <c r="H22" s="270"/>
      <c r="I22" s="276"/>
      <c r="J22" s="276">
        <f t="shared" si="3"/>
        <v>0</v>
      </c>
      <c r="K22" s="273">
        <f t="shared" ref="K22:K33" si="8">IF(H22&lt;=$E$81,I22,   -PMT(D22,E22, (-FV(((1+$I$9)^(1/12)-1),( VLOOKUP(H22,Mês,2) ),,M22)),,1)       )</f>
        <v>0</v>
      </c>
      <c r="L22" s="273">
        <f t="shared" ref="L22:L31" si="9">K22*E22</f>
        <v>0</v>
      </c>
      <c r="M22" s="273">
        <f t="shared" si="4"/>
        <v>0</v>
      </c>
      <c r="N22" s="274"/>
      <c r="O22" s="277"/>
      <c r="P22" s="277"/>
    </row>
    <row r="23" spans="1:16" x14ac:dyDescent="0.2">
      <c r="A23" s="230" t="str">
        <f t="shared" si="0"/>
        <v/>
      </c>
      <c r="B23" s="230" t="str">
        <f t="shared" si="1"/>
        <v>A</v>
      </c>
      <c r="C23" s="263">
        <f t="shared" si="7"/>
        <v>0</v>
      </c>
      <c r="D23" s="267" t="b">
        <f t="shared" si="2"/>
        <v>0</v>
      </c>
      <c r="E23" s="269"/>
      <c r="F23" s="269"/>
      <c r="G23" s="270"/>
      <c r="H23" s="270"/>
      <c r="I23" s="276"/>
      <c r="J23" s="276">
        <f t="shared" si="3"/>
        <v>0</v>
      </c>
      <c r="K23" s="273">
        <f t="shared" si="8"/>
        <v>0</v>
      </c>
      <c r="L23" s="273">
        <f t="shared" si="9"/>
        <v>0</v>
      </c>
      <c r="M23" s="273">
        <f t="shared" si="4"/>
        <v>0</v>
      </c>
      <c r="N23" s="274"/>
      <c r="O23" s="277"/>
      <c r="P23" s="277"/>
    </row>
    <row r="24" spans="1:16" x14ac:dyDescent="0.2">
      <c r="A24" s="230" t="str">
        <f t="shared" si="0"/>
        <v/>
      </c>
      <c r="B24" s="230" t="str">
        <f t="shared" si="1"/>
        <v>A</v>
      </c>
      <c r="C24" s="263">
        <f t="shared" si="7"/>
        <v>0</v>
      </c>
      <c r="D24" s="267" t="b">
        <f t="shared" si="2"/>
        <v>0</v>
      </c>
      <c r="E24" s="269"/>
      <c r="F24" s="269"/>
      <c r="G24" s="270"/>
      <c r="H24" s="270"/>
      <c r="I24" s="276"/>
      <c r="J24" s="276">
        <f t="shared" si="3"/>
        <v>0</v>
      </c>
      <c r="K24" s="273">
        <f t="shared" si="8"/>
        <v>0</v>
      </c>
      <c r="L24" s="273">
        <f t="shared" si="9"/>
        <v>0</v>
      </c>
      <c r="M24" s="273">
        <f t="shared" si="4"/>
        <v>0</v>
      </c>
      <c r="N24" s="274"/>
      <c r="O24" s="277"/>
      <c r="P24" s="277"/>
    </row>
    <row r="25" spans="1:16" x14ac:dyDescent="0.2">
      <c r="A25" s="230" t="str">
        <f t="shared" si="0"/>
        <v/>
      </c>
      <c r="B25" s="230" t="str">
        <f t="shared" si="1"/>
        <v>A</v>
      </c>
      <c r="C25" s="263">
        <f t="shared" si="7"/>
        <v>0</v>
      </c>
      <c r="D25" s="267" t="b">
        <f t="shared" si="2"/>
        <v>0</v>
      </c>
      <c r="E25" s="269"/>
      <c r="F25" s="269"/>
      <c r="G25" s="270"/>
      <c r="H25" s="270"/>
      <c r="I25" s="276"/>
      <c r="J25" s="276">
        <f t="shared" si="3"/>
        <v>0</v>
      </c>
      <c r="K25" s="273">
        <f t="shared" si="8"/>
        <v>0</v>
      </c>
      <c r="L25" s="273">
        <f t="shared" si="9"/>
        <v>0</v>
      </c>
      <c r="M25" s="273">
        <f t="shared" si="4"/>
        <v>0</v>
      </c>
      <c r="N25" s="274"/>
      <c r="O25" s="277"/>
      <c r="P25" s="277"/>
    </row>
    <row r="26" spans="1:16" x14ac:dyDescent="0.2">
      <c r="A26" s="230" t="str">
        <f t="shared" si="0"/>
        <v/>
      </c>
      <c r="B26" s="230" t="str">
        <f t="shared" si="1"/>
        <v>A</v>
      </c>
      <c r="C26" s="263">
        <f t="shared" si="7"/>
        <v>0</v>
      </c>
      <c r="D26" s="267" t="b">
        <f t="shared" si="2"/>
        <v>0</v>
      </c>
      <c r="E26" s="269"/>
      <c r="F26" s="269"/>
      <c r="G26" s="270"/>
      <c r="H26" s="270"/>
      <c r="I26" s="276"/>
      <c r="J26" s="276">
        <f t="shared" si="3"/>
        <v>0</v>
      </c>
      <c r="K26" s="273">
        <f t="shared" si="8"/>
        <v>0</v>
      </c>
      <c r="L26" s="273">
        <f t="shared" si="9"/>
        <v>0</v>
      </c>
      <c r="M26" s="273">
        <f t="shared" si="4"/>
        <v>0</v>
      </c>
      <c r="N26" s="274"/>
    </row>
    <row r="27" spans="1:16" x14ac:dyDescent="0.2">
      <c r="A27" s="230" t="str">
        <f t="shared" si="0"/>
        <v/>
      </c>
      <c r="B27" s="230" t="str">
        <f t="shared" si="1"/>
        <v>A</v>
      </c>
      <c r="C27" s="263">
        <f t="shared" si="7"/>
        <v>0</v>
      </c>
      <c r="D27" s="267" t="b">
        <f t="shared" si="2"/>
        <v>0</v>
      </c>
      <c r="E27" s="269"/>
      <c r="F27" s="269"/>
      <c r="G27" s="270"/>
      <c r="H27" s="270"/>
      <c r="I27" s="276"/>
      <c r="J27" s="276">
        <f t="shared" si="3"/>
        <v>0</v>
      </c>
      <c r="K27" s="273">
        <f t="shared" si="8"/>
        <v>0</v>
      </c>
      <c r="L27" s="273">
        <f t="shared" si="9"/>
        <v>0</v>
      </c>
      <c r="M27" s="273">
        <f t="shared" si="4"/>
        <v>0</v>
      </c>
      <c r="N27" s="274"/>
    </row>
    <row r="28" spans="1:16" x14ac:dyDescent="0.2">
      <c r="A28" s="230" t="str">
        <f t="shared" si="0"/>
        <v/>
      </c>
      <c r="B28" s="230" t="str">
        <f t="shared" si="1"/>
        <v>A</v>
      </c>
      <c r="C28" s="263">
        <f t="shared" si="7"/>
        <v>0</v>
      </c>
      <c r="D28" s="267" t="b">
        <f t="shared" si="2"/>
        <v>0</v>
      </c>
      <c r="E28" s="269"/>
      <c r="F28" s="269"/>
      <c r="G28" s="270"/>
      <c r="H28" s="270"/>
      <c r="I28" s="276"/>
      <c r="J28" s="276">
        <f t="shared" si="3"/>
        <v>0</v>
      </c>
      <c r="K28" s="273">
        <f t="shared" si="8"/>
        <v>0</v>
      </c>
      <c r="L28" s="273">
        <f t="shared" si="9"/>
        <v>0</v>
      </c>
      <c r="M28" s="273">
        <f t="shared" si="4"/>
        <v>0</v>
      </c>
      <c r="N28" s="274"/>
    </row>
    <row r="29" spans="1:16" x14ac:dyDescent="0.2">
      <c r="A29" s="230" t="str">
        <f t="shared" si="0"/>
        <v/>
      </c>
      <c r="B29" s="230" t="str">
        <f t="shared" si="1"/>
        <v>A</v>
      </c>
      <c r="C29" s="263">
        <f t="shared" si="7"/>
        <v>0</v>
      </c>
      <c r="D29" s="267" t="b">
        <f t="shared" si="2"/>
        <v>0</v>
      </c>
      <c r="E29" s="269"/>
      <c r="F29" s="269"/>
      <c r="G29" s="270"/>
      <c r="H29" s="270"/>
      <c r="I29" s="276"/>
      <c r="J29" s="276">
        <f t="shared" si="3"/>
        <v>0</v>
      </c>
      <c r="K29" s="273">
        <f t="shared" si="8"/>
        <v>0</v>
      </c>
      <c r="L29" s="273">
        <f t="shared" si="9"/>
        <v>0</v>
      </c>
      <c r="M29" s="273">
        <f t="shared" si="4"/>
        <v>0</v>
      </c>
      <c r="N29" s="274"/>
    </row>
    <row r="30" spans="1:16" x14ac:dyDescent="0.2">
      <c r="A30" s="230" t="str">
        <f t="shared" si="0"/>
        <v/>
      </c>
      <c r="B30" s="230" t="str">
        <f t="shared" si="1"/>
        <v>A</v>
      </c>
      <c r="C30" s="263">
        <f t="shared" si="7"/>
        <v>0</v>
      </c>
      <c r="D30" s="267" t="b">
        <f t="shared" si="2"/>
        <v>0</v>
      </c>
      <c r="E30" s="269"/>
      <c r="F30" s="269"/>
      <c r="G30" s="270"/>
      <c r="H30" s="270"/>
      <c r="I30" s="276"/>
      <c r="J30" s="276">
        <f t="shared" si="3"/>
        <v>0</v>
      </c>
      <c r="K30" s="273">
        <f t="shared" si="8"/>
        <v>0</v>
      </c>
      <c r="L30" s="273">
        <f t="shared" si="9"/>
        <v>0</v>
      </c>
      <c r="M30" s="273">
        <f t="shared" si="4"/>
        <v>0</v>
      </c>
      <c r="N30" s="274"/>
    </row>
    <row r="31" spans="1:16" x14ac:dyDescent="0.2">
      <c r="A31" s="230" t="str">
        <f t="shared" si="0"/>
        <v/>
      </c>
      <c r="B31" s="230" t="str">
        <f t="shared" si="1"/>
        <v>A</v>
      </c>
      <c r="C31" s="263">
        <f t="shared" si="7"/>
        <v>0</v>
      </c>
      <c r="D31" s="267" t="b">
        <f t="shared" si="2"/>
        <v>0</v>
      </c>
      <c r="E31" s="269"/>
      <c r="F31" s="269"/>
      <c r="G31" s="270"/>
      <c r="H31" s="270"/>
      <c r="I31" s="276"/>
      <c r="J31" s="276">
        <f t="shared" si="3"/>
        <v>0</v>
      </c>
      <c r="K31" s="273">
        <f t="shared" si="8"/>
        <v>0</v>
      </c>
      <c r="L31" s="273">
        <f t="shared" si="9"/>
        <v>0</v>
      </c>
      <c r="M31" s="273">
        <f t="shared" si="4"/>
        <v>0</v>
      </c>
      <c r="N31" s="274"/>
    </row>
    <row r="32" spans="1:16" x14ac:dyDescent="0.2">
      <c r="A32" s="230" t="str">
        <f t="shared" si="0"/>
        <v/>
      </c>
      <c r="B32" s="230" t="str">
        <f t="shared" si="1"/>
        <v>A</v>
      </c>
      <c r="C32" s="263">
        <f t="shared" si="7"/>
        <v>0</v>
      </c>
      <c r="D32" s="267" t="b">
        <f t="shared" si="2"/>
        <v>0</v>
      </c>
      <c r="E32" s="269"/>
      <c r="F32" s="269"/>
      <c r="G32" s="270"/>
      <c r="H32" s="270"/>
      <c r="I32" s="276"/>
      <c r="J32" s="276">
        <f>I32*E32</f>
        <v>0</v>
      </c>
      <c r="K32" s="273">
        <f t="shared" si="8"/>
        <v>0</v>
      </c>
      <c r="L32" s="273">
        <f>K32*E32</f>
        <v>0</v>
      </c>
      <c r="M32" s="273">
        <f t="shared" si="4"/>
        <v>0</v>
      </c>
      <c r="N32" s="274"/>
    </row>
    <row r="33" spans="1:19" x14ac:dyDescent="0.2">
      <c r="A33" s="230" t="str">
        <f t="shared" si="0"/>
        <v/>
      </c>
      <c r="B33" s="230" t="str">
        <f t="shared" si="1"/>
        <v>A</v>
      </c>
      <c r="C33" s="263">
        <f t="shared" si="7"/>
        <v>0</v>
      </c>
      <c r="D33" s="267" t="b">
        <f t="shared" si="2"/>
        <v>0</v>
      </c>
      <c r="E33" s="269"/>
      <c r="F33" s="269"/>
      <c r="G33" s="270"/>
      <c r="H33" s="270"/>
      <c r="I33" s="276"/>
      <c r="J33" s="276">
        <f>I33*E33</f>
        <v>0</v>
      </c>
      <c r="K33" s="273">
        <f t="shared" si="8"/>
        <v>0</v>
      </c>
      <c r="L33" s="273">
        <f>K33*E33</f>
        <v>0</v>
      </c>
      <c r="M33" s="273">
        <f t="shared" si="4"/>
        <v>0</v>
      </c>
      <c r="N33" s="274"/>
    </row>
    <row r="34" spans="1:19" ht="13.5" thickBot="1" x14ac:dyDescent="0.25">
      <c r="A34" s="230" t="str">
        <f t="shared" si="0"/>
        <v>*</v>
      </c>
      <c r="E34" s="1133" t="s">
        <v>60</v>
      </c>
      <c r="F34" s="1134"/>
      <c r="G34" s="1134"/>
      <c r="H34" s="1135"/>
      <c r="I34" s="278"/>
      <c r="J34" s="279">
        <f>SUM(J16:J32)</f>
        <v>212297.04999999996</v>
      </c>
      <c r="K34" s="278"/>
      <c r="L34" s="280">
        <f ca="1">SUM(L16:L32)</f>
        <v>212297.04999999996</v>
      </c>
      <c r="M34" s="281" t="e">
        <f ca="1">SUM(M16:M32)</f>
        <v>#REF!</v>
      </c>
      <c r="O34" s="282"/>
      <c r="P34" s="230" t="e">
        <f>J34/J61</f>
        <v>#REF!</v>
      </c>
    </row>
    <row r="35" spans="1:19" ht="13.5" thickTop="1" x14ac:dyDescent="0.2">
      <c r="A35" s="230" t="s">
        <v>20</v>
      </c>
    </row>
    <row r="36" spans="1:19" ht="16.5" thickBot="1" x14ac:dyDescent="0.3">
      <c r="A36" s="230" t="s">
        <v>20</v>
      </c>
      <c r="E36" s="231" t="s">
        <v>61</v>
      </c>
      <c r="F36" s="232"/>
      <c r="G36" s="232"/>
      <c r="H36" s="232"/>
      <c r="I36" s="232"/>
      <c r="J36" s="232"/>
      <c r="K36" s="232"/>
      <c r="L36" s="232"/>
      <c r="M36" s="232"/>
      <c r="N36" s="1150" t="s">
        <v>62</v>
      </c>
      <c r="O36" s="1150"/>
      <c r="S36" s="283"/>
    </row>
    <row r="37" spans="1:19" ht="13.5" thickTop="1" x14ac:dyDescent="0.2">
      <c r="A37" s="230" t="s">
        <v>20</v>
      </c>
      <c r="E37" s="1114" t="s">
        <v>51</v>
      </c>
      <c r="F37" s="1114" t="s">
        <v>52</v>
      </c>
      <c r="G37" s="1114"/>
      <c r="H37" s="265" t="s">
        <v>53</v>
      </c>
      <c r="I37" s="1136" t="s">
        <v>54</v>
      </c>
      <c r="J37" s="1136"/>
      <c r="K37" s="1136" t="s">
        <v>55</v>
      </c>
      <c r="L37" s="1136"/>
      <c r="M37" s="1114" t="s">
        <v>56</v>
      </c>
      <c r="N37" s="1145" t="s">
        <v>63</v>
      </c>
      <c r="O37" s="1143" t="s">
        <v>64</v>
      </c>
      <c r="P37" s="283" t="s">
        <v>189</v>
      </c>
      <c r="Q37" s="284" t="s">
        <v>188</v>
      </c>
      <c r="R37" s="285" t="s">
        <v>220</v>
      </c>
      <c r="S37" s="283"/>
    </row>
    <row r="38" spans="1:19" x14ac:dyDescent="0.2">
      <c r="A38" s="230" t="s">
        <v>20</v>
      </c>
      <c r="E38" s="1115"/>
      <c r="F38" s="1115"/>
      <c r="G38" s="1115"/>
      <c r="H38" s="266" t="s">
        <v>57</v>
      </c>
      <c r="I38" s="266" t="s">
        <v>58</v>
      </c>
      <c r="J38" s="266" t="s">
        <v>15</v>
      </c>
      <c r="K38" s="266" t="s">
        <v>58</v>
      </c>
      <c r="L38" s="266" t="s">
        <v>15</v>
      </c>
      <c r="M38" s="1115"/>
      <c r="N38" s="1146"/>
      <c r="O38" s="1144"/>
      <c r="P38" s="283"/>
      <c r="Q38" s="286"/>
      <c r="R38" s="283"/>
    </row>
    <row r="39" spans="1:19" x14ac:dyDescent="0.2">
      <c r="A39" s="230" t="str">
        <f t="shared" ref="A39:A60" si="10">IF(E39="","",IF(E39=0,"","*"))</f>
        <v>*</v>
      </c>
      <c r="B39" s="230" t="str">
        <f t="shared" ref="B39:B60" ca="1" si="11">IF(H39&lt;=$E$81,"A","B")</f>
        <v>A</v>
      </c>
      <c r="C39" s="263"/>
      <c r="D39" s="267">
        <f t="shared" ref="D39:D60" si="12">IF(F39="Chaves",((1+$I$9)^(1/12)-1),IF(F39="Anual",$I$9,IF(F39="Semestral",((1+$I$9)^(1/2)-1),IF(F39="Mensal",((1+$I$9)^(1/12)-1),IF(F39="Sinal",0)))))</f>
        <v>0</v>
      </c>
      <c r="E39" s="287">
        <f>'Simulador CEF'!F62</f>
        <v>1</v>
      </c>
      <c r="F39" s="287" t="s">
        <v>44</v>
      </c>
      <c r="G39" s="288" t="s">
        <v>28</v>
      </c>
      <c r="H39" s="288">
        <f ca="1">'Simulador CEF'!L62</f>
        <v>43802</v>
      </c>
      <c r="I39" s="289">
        <f>'Simulador CEF'!H62</f>
        <v>800</v>
      </c>
      <c r="J39" s="273">
        <f t="shared" ref="J39:J50" si="13">I39*E39</f>
        <v>800</v>
      </c>
      <c r="K39" s="273">
        <f t="shared" ref="K39:K59" ca="1" si="14">IF(H39&lt;=$E$81,I39,   -PMT(D39,E39, (-FV(((1+$I$9)^(1/12)-1),( VLOOKUP(H39,Mês,2) ),,M39)),,1)       )</f>
        <v>800</v>
      </c>
      <c r="L39" s="273">
        <f t="shared" ref="L39:L50" ca="1" si="15">K39*E39</f>
        <v>800</v>
      </c>
      <c r="M39" s="273" t="e">
        <f t="shared" ref="M39:M59" ca="1" si="16">IF(E39&lt;1,0,IF(H39&lt;=$E$81,-PV(((1+$I$9)^(1/12)-1),( VLOOKUP(H39,Mês,2) ),,(-PV((IF(F39="Anual",$I$9,IF(F39="Semestral",((1+$I$9)^(1/2)-1),((1+$I$9)^(1/12)-1)))),E39,I39,,1)),1),-PV(((1+$I$9)^(1/12)-1),( VLOOKUP($E$81,Mês,2) ),,J39,1)))</f>
        <v>#REF!</v>
      </c>
      <c r="N39" s="290">
        <v>0</v>
      </c>
      <c r="O39" s="291">
        <v>1</v>
      </c>
      <c r="P39" s="292" t="e">
        <f t="shared" ref="P39:P50" ca="1" si="17">IF(E39&lt;1,0,IF(H39&lt;=$E$81,-FV(((1+$I$9)^(1/12)-1),( VLOOKUP(H39,Mês,2) ),,(-PMT((IF(F39="Anual",$I$9,IF(F39="Semestral",((1+$I$9)^(1/2)-1),((1+$I$9)^(1/12)-1)))),E39,Q39,,1)),1),-PV(((1+$I$9)^(1/12)-1),( VLOOKUP($E$81,Mês,2) ),,Q39,1)))</f>
        <v>#REF!</v>
      </c>
      <c r="Q39" s="293" t="e">
        <f t="shared" ref="Q39:Q49" ca="1" si="18">$M$34-$M$61+M39</f>
        <v>#REF!</v>
      </c>
      <c r="R39" s="294" t="e">
        <f t="shared" ref="R39:R49" ca="1" si="19">M39</f>
        <v>#REF!</v>
      </c>
    </row>
    <row r="40" spans="1:19" x14ac:dyDescent="0.2">
      <c r="A40" s="230" t="str">
        <f t="shared" si="10"/>
        <v>*</v>
      </c>
      <c r="B40" s="230" t="str">
        <f t="shared" ca="1" si="11"/>
        <v>A</v>
      </c>
      <c r="C40" s="263"/>
      <c r="D40" s="267">
        <f t="shared" si="12"/>
        <v>7.2073233161367156E-3</v>
      </c>
      <c r="E40" s="287">
        <f>'Simulador CEF'!F64</f>
        <v>1</v>
      </c>
      <c r="F40" s="287" t="s">
        <v>37</v>
      </c>
      <c r="G40" s="288" t="s">
        <v>33</v>
      </c>
      <c r="H40" s="288">
        <f ca="1">'Simulador CEF'!L64</f>
        <v>43831</v>
      </c>
      <c r="I40" s="289">
        <f>'Simulador CEF'!H64</f>
        <v>0</v>
      </c>
      <c r="J40" s="273">
        <f t="shared" si="13"/>
        <v>0</v>
      </c>
      <c r="K40" s="273">
        <f t="shared" ca="1" si="14"/>
        <v>0</v>
      </c>
      <c r="L40" s="273">
        <f t="shared" ca="1" si="15"/>
        <v>0</v>
      </c>
      <c r="M40" s="273" t="e">
        <f t="shared" ca="1" si="16"/>
        <v>#REF!</v>
      </c>
      <c r="N40" s="290"/>
      <c r="O40" s="295"/>
      <c r="P40" s="292" t="e">
        <f t="shared" ca="1" si="17"/>
        <v>#REF!</v>
      </c>
      <c r="Q40" s="293" t="e">
        <f t="shared" ca="1" si="18"/>
        <v>#REF!</v>
      </c>
      <c r="R40" s="294" t="e">
        <f t="shared" ca="1" si="19"/>
        <v>#REF!</v>
      </c>
    </row>
    <row r="41" spans="1:19" x14ac:dyDescent="0.2">
      <c r="A41" s="230" t="str">
        <f t="shared" si="10"/>
        <v/>
      </c>
      <c r="B41" s="230" t="str">
        <f t="shared" ca="1" si="11"/>
        <v>A</v>
      </c>
      <c r="C41" s="263"/>
      <c r="D41" s="267">
        <f t="shared" si="12"/>
        <v>7.2073233161367156E-3</v>
      </c>
      <c r="E41" s="287">
        <f>'Simulador CEF'!F66</f>
        <v>0</v>
      </c>
      <c r="F41" s="287" t="s">
        <v>37</v>
      </c>
      <c r="G41" s="288" t="s">
        <v>33</v>
      </c>
      <c r="H41" s="288">
        <f ca="1">'Simulador CEF'!L66</f>
        <v>43862</v>
      </c>
      <c r="I41" s="289">
        <f>'Simulador CEF'!H66</f>
        <v>0</v>
      </c>
      <c r="J41" s="273">
        <f t="shared" si="13"/>
        <v>0</v>
      </c>
      <c r="K41" s="273">
        <f t="shared" ca="1" si="14"/>
        <v>0</v>
      </c>
      <c r="L41" s="273">
        <f t="shared" ca="1" si="15"/>
        <v>0</v>
      </c>
      <c r="M41" s="273">
        <f t="shared" si="16"/>
        <v>0</v>
      </c>
      <c r="N41" s="290"/>
      <c r="O41" s="295"/>
      <c r="P41" s="292">
        <f t="shared" si="17"/>
        <v>0</v>
      </c>
      <c r="Q41" s="293" t="e">
        <f t="shared" ca="1" si="18"/>
        <v>#REF!</v>
      </c>
      <c r="R41" s="294">
        <f t="shared" si="19"/>
        <v>0</v>
      </c>
    </row>
    <row r="42" spans="1:19" x14ac:dyDescent="0.2">
      <c r="A42" s="230" t="str">
        <f t="shared" si="10"/>
        <v>*</v>
      </c>
      <c r="B42" s="230" t="str">
        <f t="shared" ca="1" si="11"/>
        <v>A</v>
      </c>
      <c r="C42" s="263"/>
      <c r="D42" s="267">
        <f t="shared" si="12"/>
        <v>7.2073233161367156E-3</v>
      </c>
      <c r="E42" s="287">
        <f>'Simulador CEF'!F68</f>
        <v>1</v>
      </c>
      <c r="F42" s="287" t="s">
        <v>37</v>
      </c>
      <c r="G42" s="288" t="s">
        <v>33</v>
      </c>
      <c r="H42" s="288">
        <f ca="1">'Simulador CEF'!L68</f>
        <v>43862</v>
      </c>
      <c r="I42" s="289">
        <f>'Simulador CEF'!H68</f>
        <v>0</v>
      </c>
      <c r="J42" s="273">
        <f t="shared" si="13"/>
        <v>0</v>
      </c>
      <c r="K42" s="273">
        <f t="shared" ca="1" si="14"/>
        <v>0</v>
      </c>
      <c r="L42" s="273">
        <f t="shared" ca="1" si="15"/>
        <v>0</v>
      </c>
      <c r="M42" s="273" t="e">
        <f t="shared" ca="1" si="16"/>
        <v>#REF!</v>
      </c>
      <c r="N42" s="290"/>
      <c r="O42" s="295"/>
      <c r="P42" s="292" t="e">
        <f t="shared" ca="1" si="17"/>
        <v>#REF!</v>
      </c>
      <c r="Q42" s="293" t="e">
        <f t="shared" ca="1" si="18"/>
        <v>#REF!</v>
      </c>
      <c r="R42" s="294" t="e">
        <f t="shared" ca="1" si="19"/>
        <v>#REF!</v>
      </c>
    </row>
    <row r="43" spans="1:19" x14ac:dyDescent="0.2">
      <c r="A43" s="230" t="str">
        <f t="shared" si="10"/>
        <v>*</v>
      </c>
      <c r="B43" s="230" t="e">
        <f t="shared" ca="1" si="11"/>
        <v>#REF!</v>
      </c>
      <c r="C43" s="263"/>
      <c r="D43" s="267">
        <f t="shared" si="12"/>
        <v>7.2073233161367156E-3</v>
      </c>
      <c r="E43" s="287">
        <f>'Simulador CEF'!F72</f>
        <v>1</v>
      </c>
      <c r="F43" s="287" t="s">
        <v>37</v>
      </c>
      <c r="G43" s="288" t="s">
        <v>33</v>
      </c>
      <c r="H43" s="288" t="e">
        <f ca="1">'Simulador CEF'!L72</f>
        <v>#REF!</v>
      </c>
      <c r="I43" s="289">
        <f>'Simulador CEF'!H72</f>
        <v>0</v>
      </c>
      <c r="J43" s="273">
        <f t="shared" si="13"/>
        <v>0</v>
      </c>
      <c r="K43" s="273" t="e">
        <f t="shared" ca="1" si="14"/>
        <v>#REF!</v>
      </c>
      <c r="L43" s="273" t="e">
        <f t="shared" ca="1" si="15"/>
        <v>#REF!</v>
      </c>
      <c r="M43" s="273" t="e">
        <f t="shared" ca="1" si="16"/>
        <v>#REF!</v>
      </c>
      <c r="N43" s="290"/>
      <c r="O43" s="295"/>
      <c r="P43" s="292" t="e">
        <f t="shared" ca="1" si="17"/>
        <v>#REF!</v>
      </c>
      <c r="Q43" s="293" t="e">
        <f t="shared" ca="1" si="18"/>
        <v>#REF!</v>
      </c>
      <c r="R43" s="294" t="e">
        <f t="shared" ca="1" si="19"/>
        <v>#REF!</v>
      </c>
    </row>
    <row r="44" spans="1:19" x14ac:dyDescent="0.2">
      <c r="A44" s="230" t="str">
        <f>IF(E44="","",IF(E44=0,"","*"))</f>
        <v>*</v>
      </c>
      <c r="B44" s="230" t="str">
        <f t="shared" ca="1" si="11"/>
        <v>A</v>
      </c>
      <c r="C44" s="263"/>
      <c r="D44" s="267">
        <f>IF(F44="Chaves",((1+$I$9)^(1/12)-1),IF(F44="Anual",$I$9,IF(F44="Semestral",((1+$I$9)^(1/2)-1),IF(F44="Mensal",((1+$I$9)^(1/12)-1),IF(F44="Sinal",0)))))</f>
        <v>7.2073233161367156E-3</v>
      </c>
      <c r="E44" s="287">
        <f>'Simulador CEF'!F74</f>
        <v>26</v>
      </c>
      <c r="F44" s="287" t="s">
        <v>37</v>
      </c>
      <c r="G44" s="288" t="s">
        <v>33</v>
      </c>
      <c r="H44" s="288">
        <f ca="1">'Simulador CEF'!L74</f>
        <v>43922</v>
      </c>
      <c r="I44" s="289">
        <f>'Simulador CEF'!H74</f>
        <v>950</v>
      </c>
      <c r="J44" s="273">
        <f>I44*E44</f>
        <v>24700</v>
      </c>
      <c r="K44" s="273">
        <f t="shared" ca="1" si="14"/>
        <v>950</v>
      </c>
      <c r="L44" s="273">
        <f ca="1">K44*E44</f>
        <v>24700</v>
      </c>
      <c r="M44" s="273" t="e">
        <f t="shared" ca="1" si="16"/>
        <v>#REF!</v>
      </c>
      <c r="N44" s="290"/>
      <c r="O44" s="295"/>
      <c r="P44" s="292" t="e">
        <f t="shared" ca="1" si="17"/>
        <v>#REF!</v>
      </c>
      <c r="Q44" s="293" t="e">
        <f t="shared" ca="1" si="18"/>
        <v>#REF!</v>
      </c>
      <c r="R44" s="294" t="e">
        <f t="shared" ca="1" si="19"/>
        <v>#REF!</v>
      </c>
    </row>
    <row r="45" spans="1:19" x14ac:dyDescent="0.2">
      <c r="A45" s="230" t="str">
        <f t="shared" si="10"/>
        <v>*</v>
      </c>
      <c r="B45" s="230" t="e">
        <f t="shared" ca="1" si="11"/>
        <v>#REF!</v>
      </c>
      <c r="C45" s="263"/>
      <c r="D45" s="267">
        <f t="shared" si="12"/>
        <v>7.2073233161367156E-3</v>
      </c>
      <c r="E45" s="287">
        <f>'Simulador CEF'!F81</f>
        <v>1</v>
      </c>
      <c r="F45" s="287" t="s">
        <v>37</v>
      </c>
      <c r="G45" s="288" t="s">
        <v>33</v>
      </c>
      <c r="H45" s="288" t="e">
        <f ca="1">'Simulador CEF'!L81</f>
        <v>#REF!</v>
      </c>
      <c r="I45" s="289">
        <f>'Simulador CEF'!H81</f>
        <v>0</v>
      </c>
      <c r="J45" s="273">
        <f t="shared" si="13"/>
        <v>0</v>
      </c>
      <c r="K45" s="273" t="e">
        <f t="shared" ca="1" si="14"/>
        <v>#REF!</v>
      </c>
      <c r="L45" s="273" t="e">
        <f t="shared" ca="1" si="15"/>
        <v>#REF!</v>
      </c>
      <c r="M45" s="273" t="e">
        <f t="shared" ca="1" si="16"/>
        <v>#REF!</v>
      </c>
      <c r="N45" s="290"/>
      <c r="O45" s="295"/>
      <c r="P45" s="292" t="e">
        <f t="shared" ca="1" si="17"/>
        <v>#REF!</v>
      </c>
      <c r="Q45" s="293" t="e">
        <f t="shared" ca="1" si="18"/>
        <v>#REF!</v>
      </c>
      <c r="R45" s="294" t="e">
        <f t="shared" ca="1" si="19"/>
        <v>#REF!</v>
      </c>
    </row>
    <row r="46" spans="1:19" x14ac:dyDescent="0.2">
      <c r="A46" s="230" t="str">
        <f>IF(E46="","",IF(E46=0,"","*"))</f>
        <v>*</v>
      </c>
      <c r="B46" s="230" t="str">
        <f t="shared" si="11"/>
        <v>A</v>
      </c>
      <c r="C46" s="263"/>
      <c r="D46" s="267">
        <f>IF(F46="Chaves",((1+$I$9)^(1/12)-1),IF(F46="Anual",$I$9,IF(F46="Semestral",((1+$I$9)^(1/2)-1),IF(F46="Mensal",((1+$I$9)^(1/12)-1),IF(F46="Sinal",0)))))</f>
        <v>0.09</v>
      </c>
      <c r="E46" s="287">
        <f>'Simulador CEF'!F77</f>
        <v>2</v>
      </c>
      <c r="F46" s="287" t="s">
        <v>27</v>
      </c>
      <c r="G46" s="288" t="s">
        <v>33</v>
      </c>
      <c r="H46" s="288">
        <f>'Simulador CEF'!L77</f>
        <v>43983</v>
      </c>
      <c r="I46" s="289">
        <f>'Simulador CEF'!H77</f>
        <v>0</v>
      </c>
      <c r="J46" s="273">
        <f t="shared" si="13"/>
        <v>0</v>
      </c>
      <c r="K46" s="273">
        <f t="shared" si="14"/>
        <v>0</v>
      </c>
      <c r="L46" s="273">
        <f>K46*E46</f>
        <v>0</v>
      </c>
      <c r="M46" s="273" t="e">
        <f t="shared" si="16"/>
        <v>#REF!</v>
      </c>
      <c r="N46" s="290"/>
      <c r="O46" s="295"/>
      <c r="P46" s="292" t="e">
        <f t="shared" ca="1" si="17"/>
        <v>#REF!</v>
      </c>
      <c r="Q46" s="293" t="e">
        <f t="shared" ca="1" si="18"/>
        <v>#REF!</v>
      </c>
      <c r="R46" s="294" t="e">
        <f t="shared" si="19"/>
        <v>#REF!</v>
      </c>
    </row>
    <row r="47" spans="1:19" x14ac:dyDescent="0.2">
      <c r="A47" s="230" t="str">
        <f t="shared" si="10"/>
        <v>*</v>
      </c>
      <c r="B47" s="230" t="str">
        <f t="shared" ca="1" si="11"/>
        <v>A</v>
      </c>
      <c r="C47" s="263"/>
      <c r="D47" s="267">
        <f t="shared" si="12"/>
        <v>7.2073233161367156E-3</v>
      </c>
      <c r="E47" s="287">
        <f>'Simulador CEF'!F85</f>
        <v>1</v>
      </c>
      <c r="F47" s="287" t="s">
        <v>32</v>
      </c>
      <c r="G47" s="288" t="s">
        <v>33</v>
      </c>
      <c r="H47" s="288">
        <f ca="1">'Simulador CEF'!L79</f>
        <v>43800</v>
      </c>
      <c r="I47" s="289">
        <f>'Simulador CEF'!H79</f>
        <v>0</v>
      </c>
      <c r="J47" s="273">
        <f t="shared" si="13"/>
        <v>0</v>
      </c>
      <c r="K47" s="273">
        <f t="shared" ca="1" si="14"/>
        <v>0</v>
      </c>
      <c r="L47" s="273">
        <f ca="1">K47*E47</f>
        <v>0</v>
      </c>
      <c r="M47" s="273" t="e">
        <f t="shared" ca="1" si="16"/>
        <v>#REF!</v>
      </c>
      <c r="N47" s="290"/>
      <c r="O47" s="295"/>
      <c r="P47" s="292" t="e">
        <f t="shared" ca="1" si="17"/>
        <v>#REF!</v>
      </c>
      <c r="Q47" s="293" t="e">
        <f t="shared" ca="1" si="18"/>
        <v>#REF!</v>
      </c>
      <c r="R47" s="294" t="e">
        <f t="shared" ca="1" si="19"/>
        <v>#REF!</v>
      </c>
    </row>
    <row r="48" spans="1:19" x14ac:dyDescent="0.2">
      <c r="A48" s="230" t="str">
        <f>IF(E48="","",IF(E48=0,"","*"))</f>
        <v>*</v>
      </c>
      <c r="B48" s="230" t="e">
        <f t="shared" si="11"/>
        <v>#REF!</v>
      </c>
      <c r="C48" s="263"/>
      <c r="D48" s="267">
        <f>IF(F48="Chaves",((1+$I$9)^(1/12)-1),IF(F48="Anual",$I$9,IF(F48="Semestral",((1+$I$9)^(1/2)-1),IF(F48="Mensal",((1+$I$9)^(1/12)-1),IF(F48="Sinal",0)))))</f>
        <v>7.2073233161367156E-3</v>
      </c>
      <c r="E48" s="287">
        <v>1</v>
      </c>
      <c r="F48" s="287" t="s">
        <v>37</v>
      </c>
      <c r="G48" s="288" t="s">
        <v>33</v>
      </c>
      <c r="H48" s="288" t="e">
        <f>'Simulador CEF'!#REF!</f>
        <v>#REF!</v>
      </c>
      <c r="I48" s="296" t="e">
        <f>'Simulador CEF'!#REF!</f>
        <v>#REF!</v>
      </c>
      <c r="J48" s="273" t="e">
        <f t="shared" si="13"/>
        <v>#REF!</v>
      </c>
      <c r="K48" s="273" t="e">
        <f t="shared" si="14"/>
        <v>#REF!</v>
      </c>
      <c r="L48" s="273" t="e">
        <f t="shared" si="15"/>
        <v>#REF!</v>
      </c>
      <c r="M48" s="273" t="e">
        <f t="shared" si="16"/>
        <v>#REF!</v>
      </c>
      <c r="N48" s="290"/>
      <c r="O48" s="295"/>
      <c r="P48" s="292" t="e">
        <f t="shared" si="17"/>
        <v>#REF!</v>
      </c>
      <c r="Q48" s="293" t="e">
        <f t="shared" ca="1" si="18"/>
        <v>#REF!</v>
      </c>
      <c r="R48" s="294" t="e">
        <f t="shared" si="19"/>
        <v>#REF!</v>
      </c>
    </row>
    <row r="49" spans="1:18" x14ac:dyDescent="0.2">
      <c r="A49" s="230" t="str">
        <f>IF(E49="","",IF(E49=0,"","*"))</f>
        <v>*</v>
      </c>
      <c r="B49" s="230" t="str">
        <f t="shared" ca="1" si="11"/>
        <v>A</v>
      </c>
      <c r="C49" s="263"/>
      <c r="D49" s="267">
        <f>IF(F49="Chaves",((1+$I$9)^(1/12)-1),IF(F49="Anual",$I$9,IF(F49="Semestral",((1+$I$9)^(1/2)-1),IF(F49="Mensal",((1+$I$9)^(1/12)-1),IF(F49="Sinal",0)))))</f>
        <v>7.2073233161367156E-3</v>
      </c>
      <c r="E49" s="287">
        <v>1</v>
      </c>
      <c r="F49" s="287" t="s">
        <v>32</v>
      </c>
      <c r="G49" s="288" t="s">
        <v>33</v>
      </c>
      <c r="H49" s="288">
        <f ca="1">H21</f>
        <v>43924</v>
      </c>
      <c r="I49" s="296">
        <f>'Simulador CEF'!N88</f>
        <v>31292.5</v>
      </c>
      <c r="J49" s="273">
        <f>I49*E49</f>
        <v>31292.5</v>
      </c>
      <c r="K49" s="273">
        <f t="shared" ca="1" si="14"/>
        <v>31292.5</v>
      </c>
      <c r="L49" s="273">
        <f ca="1">K49*E49</f>
        <v>31292.5</v>
      </c>
      <c r="M49" s="273" t="e">
        <f t="shared" ca="1" si="16"/>
        <v>#REF!</v>
      </c>
      <c r="N49" s="290"/>
      <c r="O49" s="295"/>
      <c r="P49" s="292" t="e">
        <f t="shared" ca="1" si="17"/>
        <v>#REF!</v>
      </c>
      <c r="Q49" s="293" t="e">
        <f t="shared" ca="1" si="18"/>
        <v>#REF!</v>
      </c>
      <c r="R49" s="294" t="e">
        <f t="shared" ca="1" si="19"/>
        <v>#REF!</v>
      </c>
    </row>
    <row r="50" spans="1:18" x14ac:dyDescent="0.2">
      <c r="A50" s="230" t="str">
        <f t="shared" si="10"/>
        <v>*</v>
      </c>
      <c r="B50" s="230" t="str">
        <f t="shared" ca="1" si="11"/>
        <v>A</v>
      </c>
      <c r="C50" s="263"/>
      <c r="D50" s="267">
        <f t="shared" si="12"/>
        <v>7.2073233161367156E-3</v>
      </c>
      <c r="E50" s="287">
        <v>1</v>
      </c>
      <c r="F50" s="287" t="s">
        <v>32</v>
      </c>
      <c r="G50" s="288" t="s">
        <v>33</v>
      </c>
      <c r="H50" s="288">
        <f ca="1">H21</f>
        <v>43924</v>
      </c>
      <c r="I50" s="296">
        <f ca="1">'Simulador CEF'!N89</f>
        <v>139216</v>
      </c>
      <c r="J50" s="273">
        <f t="shared" ca="1" si="13"/>
        <v>139216</v>
      </c>
      <c r="K50" s="273">
        <f t="shared" ca="1" si="14"/>
        <v>139216</v>
      </c>
      <c r="L50" s="273">
        <f t="shared" ca="1" si="15"/>
        <v>139216</v>
      </c>
      <c r="M50" s="273" t="e">
        <f t="shared" ca="1" si="16"/>
        <v>#REF!</v>
      </c>
      <c r="N50" s="290"/>
      <c r="O50" s="295"/>
      <c r="P50" s="292" t="e">
        <f t="shared" ca="1" si="17"/>
        <v>#REF!</v>
      </c>
      <c r="Q50" s="293" t="e">
        <f ca="1">$M$34-$M$61+M50</f>
        <v>#REF!</v>
      </c>
      <c r="R50" s="297"/>
    </row>
    <row r="51" spans="1:18" x14ac:dyDescent="0.2">
      <c r="A51" s="230" t="str">
        <f t="shared" si="10"/>
        <v/>
      </c>
      <c r="B51" s="230" t="str">
        <f t="shared" si="11"/>
        <v>A</v>
      </c>
      <c r="C51" s="263"/>
      <c r="D51" s="267" t="b">
        <f t="shared" si="12"/>
        <v>0</v>
      </c>
      <c r="E51" s="287"/>
      <c r="F51" s="287"/>
      <c r="G51" s="288"/>
      <c r="H51" s="288"/>
      <c r="I51" s="296"/>
      <c r="J51" s="273">
        <f t="shared" ref="J51:J59" si="20">I51*E51</f>
        <v>0</v>
      </c>
      <c r="K51" s="273">
        <f t="shared" si="14"/>
        <v>0</v>
      </c>
      <c r="L51" s="273">
        <f t="shared" ref="L51:L59" si="21">K51*E51</f>
        <v>0</v>
      </c>
      <c r="M51" s="273">
        <f t="shared" si="16"/>
        <v>0</v>
      </c>
      <c r="N51" s="290"/>
      <c r="O51" s="295"/>
      <c r="P51" s="298"/>
      <c r="R51" s="294">
        <f t="shared" ref="R51:R60" si="22">M51</f>
        <v>0</v>
      </c>
    </row>
    <row r="52" spans="1:18" x14ac:dyDescent="0.2">
      <c r="A52" s="230" t="str">
        <f t="shared" si="10"/>
        <v/>
      </c>
      <c r="B52" s="230" t="str">
        <f t="shared" si="11"/>
        <v>A</v>
      </c>
      <c r="C52" s="263"/>
      <c r="D52" s="267" t="b">
        <f t="shared" si="12"/>
        <v>0</v>
      </c>
      <c r="E52" s="287"/>
      <c r="F52" s="287"/>
      <c r="G52" s="288"/>
      <c r="H52" s="288"/>
      <c r="I52" s="296"/>
      <c r="J52" s="273">
        <f t="shared" si="20"/>
        <v>0</v>
      </c>
      <c r="K52" s="273">
        <f t="shared" si="14"/>
        <v>0</v>
      </c>
      <c r="L52" s="273">
        <f t="shared" si="21"/>
        <v>0</v>
      </c>
      <c r="M52" s="273">
        <f t="shared" si="16"/>
        <v>0</v>
      </c>
      <c r="N52" s="290"/>
      <c r="O52" s="295"/>
      <c r="P52" s="298"/>
      <c r="R52" s="294">
        <f t="shared" si="22"/>
        <v>0</v>
      </c>
    </row>
    <row r="53" spans="1:18" x14ac:dyDescent="0.2">
      <c r="A53" s="230" t="str">
        <f t="shared" si="10"/>
        <v/>
      </c>
      <c r="B53" s="230" t="str">
        <f t="shared" si="11"/>
        <v>A</v>
      </c>
      <c r="C53" s="263"/>
      <c r="D53" s="267" t="b">
        <f t="shared" si="12"/>
        <v>0</v>
      </c>
      <c r="E53" s="287"/>
      <c r="F53" s="287"/>
      <c r="G53" s="288"/>
      <c r="H53" s="288"/>
      <c r="I53" s="296"/>
      <c r="J53" s="273">
        <f t="shared" si="20"/>
        <v>0</v>
      </c>
      <c r="K53" s="273">
        <f t="shared" si="14"/>
        <v>0</v>
      </c>
      <c r="L53" s="273">
        <f t="shared" si="21"/>
        <v>0</v>
      </c>
      <c r="M53" s="273">
        <f t="shared" si="16"/>
        <v>0</v>
      </c>
      <c r="N53" s="290"/>
      <c r="O53" s="295"/>
      <c r="P53" s="298"/>
      <c r="R53" s="294">
        <f t="shared" si="22"/>
        <v>0</v>
      </c>
    </row>
    <row r="54" spans="1:18" x14ac:dyDescent="0.2">
      <c r="A54" s="230" t="str">
        <f t="shared" si="10"/>
        <v/>
      </c>
      <c r="B54" s="230" t="str">
        <f t="shared" si="11"/>
        <v>A</v>
      </c>
      <c r="C54" s="263"/>
      <c r="D54" s="267" t="b">
        <f t="shared" si="12"/>
        <v>0</v>
      </c>
      <c r="E54" s="287"/>
      <c r="F54" s="287"/>
      <c r="G54" s="288"/>
      <c r="H54" s="288"/>
      <c r="I54" s="296"/>
      <c r="J54" s="273">
        <f t="shared" si="20"/>
        <v>0</v>
      </c>
      <c r="K54" s="273">
        <f t="shared" si="14"/>
        <v>0</v>
      </c>
      <c r="L54" s="273">
        <f t="shared" si="21"/>
        <v>0</v>
      </c>
      <c r="M54" s="273">
        <f t="shared" si="16"/>
        <v>0</v>
      </c>
      <c r="N54" s="290"/>
      <c r="O54" s="295"/>
      <c r="P54" s="298"/>
      <c r="R54" s="294">
        <f t="shared" si="22"/>
        <v>0</v>
      </c>
    </row>
    <row r="55" spans="1:18" x14ac:dyDescent="0.2">
      <c r="A55" s="230" t="str">
        <f t="shared" si="10"/>
        <v/>
      </c>
      <c r="B55" s="230" t="str">
        <f t="shared" si="11"/>
        <v>A</v>
      </c>
      <c r="C55" s="263"/>
      <c r="D55" s="267" t="b">
        <f t="shared" si="12"/>
        <v>0</v>
      </c>
      <c r="E55" s="287"/>
      <c r="F55" s="287"/>
      <c r="G55" s="288"/>
      <c r="H55" s="288"/>
      <c r="I55" s="296"/>
      <c r="J55" s="273">
        <f t="shared" si="20"/>
        <v>0</v>
      </c>
      <c r="K55" s="273">
        <f t="shared" si="14"/>
        <v>0</v>
      </c>
      <c r="L55" s="273">
        <f t="shared" si="21"/>
        <v>0</v>
      </c>
      <c r="M55" s="273">
        <f t="shared" si="16"/>
        <v>0</v>
      </c>
      <c r="N55" s="290"/>
      <c r="O55" s="295"/>
      <c r="P55" s="298"/>
      <c r="R55" s="294">
        <f t="shared" si="22"/>
        <v>0</v>
      </c>
    </row>
    <row r="56" spans="1:18" x14ac:dyDescent="0.2">
      <c r="A56" s="230" t="str">
        <f t="shared" si="10"/>
        <v/>
      </c>
      <c r="B56" s="230" t="str">
        <f t="shared" si="11"/>
        <v>A</v>
      </c>
      <c r="C56" s="263"/>
      <c r="D56" s="267" t="b">
        <f t="shared" si="12"/>
        <v>0</v>
      </c>
      <c r="E56" s="287"/>
      <c r="F56" s="287"/>
      <c r="G56" s="288"/>
      <c r="H56" s="288"/>
      <c r="I56" s="296"/>
      <c r="J56" s="273">
        <f t="shared" si="20"/>
        <v>0</v>
      </c>
      <c r="K56" s="273">
        <f t="shared" si="14"/>
        <v>0</v>
      </c>
      <c r="L56" s="273">
        <f t="shared" si="21"/>
        <v>0</v>
      </c>
      <c r="M56" s="273">
        <f t="shared" si="16"/>
        <v>0</v>
      </c>
      <c r="N56" s="290"/>
      <c r="O56" s="295"/>
      <c r="P56" s="298"/>
      <c r="R56" s="294">
        <f t="shared" si="22"/>
        <v>0</v>
      </c>
    </row>
    <row r="57" spans="1:18" x14ac:dyDescent="0.2">
      <c r="A57" s="230" t="str">
        <f t="shared" si="10"/>
        <v/>
      </c>
      <c r="B57" s="230" t="str">
        <f t="shared" si="11"/>
        <v>A</v>
      </c>
      <c r="C57" s="263"/>
      <c r="D57" s="267" t="b">
        <f t="shared" si="12"/>
        <v>0</v>
      </c>
      <c r="E57" s="287"/>
      <c r="F57" s="287"/>
      <c r="G57" s="288"/>
      <c r="H57" s="288"/>
      <c r="I57" s="296"/>
      <c r="J57" s="273">
        <f t="shared" si="20"/>
        <v>0</v>
      </c>
      <c r="K57" s="273">
        <f t="shared" si="14"/>
        <v>0</v>
      </c>
      <c r="L57" s="273">
        <f t="shared" si="21"/>
        <v>0</v>
      </c>
      <c r="M57" s="273">
        <f t="shared" si="16"/>
        <v>0</v>
      </c>
      <c r="N57" s="290"/>
      <c r="O57" s="295"/>
      <c r="P57" s="298"/>
      <c r="R57" s="294">
        <f t="shared" si="22"/>
        <v>0</v>
      </c>
    </row>
    <row r="58" spans="1:18" x14ac:dyDescent="0.2">
      <c r="A58" s="230" t="str">
        <f t="shared" si="10"/>
        <v/>
      </c>
      <c r="B58" s="230" t="str">
        <f t="shared" si="11"/>
        <v>A</v>
      </c>
      <c r="C58" s="263"/>
      <c r="D58" s="267" t="b">
        <f t="shared" si="12"/>
        <v>0</v>
      </c>
      <c r="E58" s="287"/>
      <c r="F58" s="287"/>
      <c r="G58" s="288"/>
      <c r="H58" s="288"/>
      <c r="I58" s="296"/>
      <c r="J58" s="273">
        <f t="shared" si="20"/>
        <v>0</v>
      </c>
      <c r="K58" s="273">
        <f t="shared" si="14"/>
        <v>0</v>
      </c>
      <c r="L58" s="273">
        <f t="shared" si="21"/>
        <v>0</v>
      </c>
      <c r="M58" s="273">
        <f t="shared" si="16"/>
        <v>0</v>
      </c>
      <c r="N58" s="290"/>
      <c r="O58" s="295"/>
      <c r="P58" s="298"/>
      <c r="R58" s="294">
        <f t="shared" si="22"/>
        <v>0</v>
      </c>
    </row>
    <row r="59" spans="1:18" x14ac:dyDescent="0.2">
      <c r="A59" s="230" t="str">
        <f t="shared" si="10"/>
        <v/>
      </c>
      <c r="B59" s="230" t="str">
        <f t="shared" si="11"/>
        <v>A</v>
      </c>
      <c r="C59" s="263"/>
      <c r="D59" s="267" t="b">
        <f t="shared" si="12"/>
        <v>0</v>
      </c>
      <c r="E59" s="287"/>
      <c r="F59" s="287"/>
      <c r="G59" s="288"/>
      <c r="H59" s="288"/>
      <c r="I59" s="296"/>
      <c r="J59" s="273">
        <f t="shared" si="20"/>
        <v>0</v>
      </c>
      <c r="K59" s="273">
        <f t="shared" si="14"/>
        <v>0</v>
      </c>
      <c r="L59" s="273">
        <f t="shared" si="21"/>
        <v>0</v>
      </c>
      <c r="M59" s="273">
        <f t="shared" si="16"/>
        <v>0</v>
      </c>
      <c r="N59" s="290"/>
      <c r="O59" s="295"/>
      <c r="R59" s="294">
        <f t="shared" si="22"/>
        <v>0</v>
      </c>
    </row>
    <row r="60" spans="1:18" x14ac:dyDescent="0.2">
      <c r="A60" s="230" t="str">
        <f t="shared" si="10"/>
        <v/>
      </c>
      <c r="B60" s="230" t="str">
        <f t="shared" si="11"/>
        <v>A</v>
      </c>
      <c r="C60" s="263"/>
      <c r="D60" s="267" t="b">
        <f t="shared" si="12"/>
        <v>0</v>
      </c>
      <c r="E60" s="299"/>
      <c r="F60" s="299"/>
      <c r="G60" s="300"/>
      <c r="H60" s="300"/>
      <c r="I60" s="301"/>
      <c r="J60" s="302"/>
      <c r="K60" s="302"/>
      <c r="L60" s="302"/>
      <c r="M60" s="273"/>
      <c r="N60" s="290"/>
      <c r="O60" s="295"/>
      <c r="R60" s="303">
        <f t="shared" si="22"/>
        <v>0</v>
      </c>
    </row>
    <row r="61" spans="1:18" ht="13.5" thickBot="1" x14ac:dyDescent="0.25">
      <c r="A61" s="230" t="str">
        <f>IF(E61="","","*")</f>
        <v>*</v>
      </c>
      <c r="E61" s="1133" t="s">
        <v>60</v>
      </c>
      <c r="F61" s="1134"/>
      <c r="G61" s="1134"/>
      <c r="H61" s="1135"/>
      <c r="I61" s="278"/>
      <c r="J61" s="280" t="e">
        <f>SUM(J39:J60)</f>
        <v>#REF!</v>
      </c>
      <c r="K61" s="278"/>
      <c r="L61" s="280" t="e">
        <f ca="1">SUM(L39:L60)</f>
        <v>#REF!</v>
      </c>
      <c r="M61" s="281" t="e">
        <f ca="1">SUM(M39:M60)</f>
        <v>#REF!</v>
      </c>
      <c r="O61" s="282"/>
      <c r="P61" s="298"/>
      <c r="R61" s="304" t="e">
        <f ca="1">SUM(R39:R60)</f>
        <v>#REF!</v>
      </c>
    </row>
    <row r="62" spans="1:18" ht="13.5" thickTop="1" x14ac:dyDescent="0.2">
      <c r="A62" s="230" t="s">
        <v>20</v>
      </c>
      <c r="Q62" s="294" t="e">
        <f ca="1">IF(E50&lt;1,0,IF(H50&lt;=$E$81,-FV(((1+$I$9)^(1/12)-1),( VLOOKUP(H50,Mês,2) ),,(-PMT((IF(F50="Anual",$I$9,IF(F50="Semestral",((1+$I$9)^(1/2)-1),((1+$I$9)^(1/12)-1)))),E50,R62,,1)),1),-PV(((1+$I$9)^(1/12)-1),( VLOOKUP($E$81,Mês,2) ),,R62,1)))</f>
        <v>#REF!</v>
      </c>
      <c r="R62" s="305" t="e">
        <f ca="1">M34-R61</f>
        <v>#REF!</v>
      </c>
    </row>
    <row r="63" spans="1:18" x14ac:dyDescent="0.2">
      <c r="A63" s="230" t="s">
        <v>20</v>
      </c>
      <c r="J63" s="306"/>
    </row>
    <row r="64" spans="1:18" ht="13.5" thickBot="1" x14ac:dyDescent="0.25">
      <c r="A64" s="230" t="s">
        <v>20</v>
      </c>
    </row>
    <row r="65" spans="1:13" ht="17.25" thickTop="1" thickBot="1" x14ac:dyDescent="0.3">
      <c r="A65" s="230" t="s">
        <v>20</v>
      </c>
      <c r="E65" s="1127"/>
      <c r="F65" s="1151"/>
      <c r="G65" s="1140" t="s">
        <v>3</v>
      </c>
      <c r="H65" s="1141"/>
      <c r="I65" s="1140" t="s">
        <v>65</v>
      </c>
      <c r="J65" s="1153"/>
      <c r="K65" s="1141"/>
      <c r="L65" s="1140" t="s">
        <v>15</v>
      </c>
      <c r="M65" s="1141"/>
    </row>
    <row r="66" spans="1:13" ht="17.25" thickTop="1" thickBot="1" x14ac:dyDescent="0.3">
      <c r="A66" s="230" t="s">
        <v>20</v>
      </c>
      <c r="E66" s="1129"/>
      <c r="F66" s="1152"/>
      <c r="G66" s="307" t="s">
        <v>66</v>
      </c>
      <c r="H66" s="307" t="s">
        <v>67</v>
      </c>
      <c r="I66" s="307" t="s">
        <v>66</v>
      </c>
      <c r="J66" s="307" t="s">
        <v>68</v>
      </c>
      <c r="K66" s="307" t="s">
        <v>67</v>
      </c>
      <c r="L66" s="307" t="s">
        <v>66</v>
      </c>
      <c r="M66" s="307" t="s">
        <v>67</v>
      </c>
    </row>
    <row r="67" spans="1:13" ht="14.25" thickTop="1" thickBot="1" x14ac:dyDescent="0.25">
      <c r="A67" s="230" t="s">
        <v>20</v>
      </c>
      <c r="E67" s="1131" t="s">
        <v>31</v>
      </c>
      <c r="F67" s="1132"/>
      <c r="G67" s="308" t="e">
        <f>H67/100*$J$61</f>
        <v>#REF!</v>
      </c>
      <c r="H67" s="309">
        <v>0</v>
      </c>
      <c r="I67" s="310"/>
      <c r="J67" s="308" t="e">
        <f>K67/100*$J$61</f>
        <v>#REF!</v>
      </c>
      <c r="K67" s="309"/>
      <c r="L67" s="308" t="e">
        <f>J67+I67+G67</f>
        <v>#REF!</v>
      </c>
      <c r="M67" s="311" t="e">
        <f>IF(L67=0,0,L67/$J$61)*100</f>
        <v>#REF!</v>
      </c>
    </row>
    <row r="68" spans="1:13" ht="14.25" thickTop="1" thickBot="1" x14ac:dyDescent="0.25">
      <c r="A68" s="230" t="s">
        <v>20</v>
      </c>
      <c r="E68" s="1131" t="s">
        <v>36</v>
      </c>
      <c r="F68" s="1132"/>
      <c r="G68" s="308" t="e">
        <f>H68/100*$J$61</f>
        <v>#REF!</v>
      </c>
      <c r="H68" s="309"/>
      <c r="I68" s="310"/>
      <c r="J68" s="308" t="e">
        <f>K68/100*$J$61</f>
        <v>#REF!</v>
      </c>
      <c r="K68" s="309"/>
      <c r="L68" s="308" t="e">
        <f>J68+I68+G68</f>
        <v>#REF!</v>
      </c>
      <c r="M68" s="311" t="e">
        <f>IF(L68=0,0,L68/$J$61)*100</f>
        <v>#REF!</v>
      </c>
    </row>
    <row r="69" spans="1:13" ht="14.25" thickTop="1" thickBot="1" x14ac:dyDescent="0.25">
      <c r="A69" s="230" t="s">
        <v>20</v>
      </c>
      <c r="E69" s="1131" t="str">
        <f>J8</f>
        <v>Empresa de vendas</v>
      </c>
      <c r="F69" s="1132"/>
      <c r="G69" s="308" t="e">
        <f>H69/100*$J$61</f>
        <v>#REF!</v>
      </c>
      <c r="H69" s="309"/>
      <c r="I69" s="310"/>
      <c r="J69" s="308" t="e">
        <f>K69/100*$J$61</f>
        <v>#REF!</v>
      </c>
      <c r="K69" s="309"/>
      <c r="L69" s="308" t="e">
        <f>J69+I69+G69</f>
        <v>#REF!</v>
      </c>
      <c r="M69" s="311" t="e">
        <f>IF(L69=0,0,L69/$J$61)*100</f>
        <v>#REF!</v>
      </c>
    </row>
    <row r="70" spans="1:13" ht="14.25" thickTop="1" thickBot="1" x14ac:dyDescent="0.25">
      <c r="A70" s="230" t="s">
        <v>20</v>
      </c>
      <c r="E70" s="1137" t="s">
        <v>60</v>
      </c>
      <c r="F70" s="1139"/>
      <c r="G70" s="308" t="e">
        <f t="shared" ref="G70:M70" si="23">SUM(G67:G69)</f>
        <v>#REF!</v>
      </c>
      <c r="H70" s="311">
        <f t="shared" si="23"/>
        <v>0</v>
      </c>
      <c r="I70" s="308">
        <f t="shared" si="23"/>
        <v>0</v>
      </c>
      <c r="J70" s="312" t="e">
        <f t="shared" si="23"/>
        <v>#REF!</v>
      </c>
      <c r="K70" s="311">
        <f t="shared" si="23"/>
        <v>0</v>
      </c>
      <c r="L70" s="308" t="e">
        <f t="shared" si="23"/>
        <v>#REF!</v>
      </c>
      <c r="M70" s="311" t="e">
        <f t="shared" si="23"/>
        <v>#REF!</v>
      </c>
    </row>
    <row r="71" spans="1:13" ht="13.5" thickTop="1" x14ac:dyDescent="0.2">
      <c r="A71" s="230" t="s">
        <v>20</v>
      </c>
      <c r="E71" s="313"/>
      <c r="F71" s="313"/>
      <c r="G71" s="314"/>
      <c r="H71" s="315"/>
      <c r="I71" s="314"/>
      <c r="J71" s="316"/>
      <c r="K71" s="315"/>
      <c r="L71" s="314"/>
      <c r="M71" s="315"/>
    </row>
    <row r="72" spans="1:13" x14ac:dyDescent="0.2">
      <c r="A72" s="230" t="s">
        <v>20</v>
      </c>
    </row>
    <row r="73" spans="1:13" ht="16.5" thickBot="1" x14ac:dyDescent="0.3">
      <c r="A73" s="230" t="s">
        <v>20</v>
      </c>
      <c r="E73" s="231" t="s">
        <v>69</v>
      </c>
      <c r="F73" s="232"/>
      <c r="G73" s="232"/>
      <c r="H73" s="232"/>
      <c r="I73" s="232"/>
      <c r="J73" s="232"/>
      <c r="K73" s="232"/>
      <c r="L73" s="232"/>
      <c r="M73" s="232"/>
    </row>
    <row r="74" spans="1:13" ht="14.25" thickTop="1" thickBot="1" x14ac:dyDescent="0.25">
      <c r="A74" s="230" t="s">
        <v>20</v>
      </c>
      <c r="E74" s="1137" t="s">
        <v>70</v>
      </c>
      <c r="F74" s="1138"/>
      <c r="G74" s="1138"/>
      <c r="H74" s="1138" t="s">
        <v>71</v>
      </c>
      <c r="I74" s="1138"/>
      <c r="J74" s="1138"/>
      <c r="K74" s="1138" t="s">
        <v>72</v>
      </c>
      <c r="L74" s="1138"/>
      <c r="M74" s="1139"/>
    </row>
    <row r="75" spans="1:13" ht="13.5" thickTop="1" x14ac:dyDescent="0.2">
      <c r="A75" s="230" t="s">
        <v>20</v>
      </c>
      <c r="E75" s="1127"/>
      <c r="F75" s="1128"/>
      <c r="G75" s="1128"/>
      <c r="H75" s="1127"/>
      <c r="I75" s="1128"/>
      <c r="J75" s="1151"/>
      <c r="K75" s="1128"/>
      <c r="L75" s="1128"/>
      <c r="M75" s="1151"/>
    </row>
    <row r="76" spans="1:13" ht="13.5" thickBot="1" x14ac:dyDescent="0.25">
      <c r="A76" s="230" t="s">
        <v>20</v>
      </c>
      <c r="E76" s="1129"/>
      <c r="F76" s="1130"/>
      <c r="G76" s="1130"/>
      <c r="H76" s="1129"/>
      <c r="I76" s="1130"/>
      <c r="J76" s="1152"/>
      <c r="K76" s="1130"/>
      <c r="L76" s="1130"/>
      <c r="M76" s="1152"/>
    </row>
    <row r="77" spans="1:13" ht="13.5" thickTop="1" x14ac:dyDescent="0.2">
      <c r="A77" s="230" t="s">
        <v>20</v>
      </c>
      <c r="E77" s="317"/>
      <c r="F77" s="317"/>
      <c r="G77" s="317"/>
      <c r="H77" s="317"/>
      <c r="I77" s="317"/>
      <c r="J77" s="317"/>
      <c r="K77" s="317"/>
      <c r="L77" s="317"/>
      <c r="M77" s="317"/>
    </row>
    <row r="78" spans="1:13" x14ac:dyDescent="0.2">
      <c r="A78" s="230" t="s">
        <v>20</v>
      </c>
    </row>
    <row r="79" spans="1:13" ht="13.5" thickBot="1" x14ac:dyDescent="0.25">
      <c r="A79" s="230" t="s">
        <v>20</v>
      </c>
    </row>
    <row r="80" spans="1:13" ht="14.25" thickTop="1" thickBot="1" x14ac:dyDescent="0.25">
      <c r="A80" s="230" t="s">
        <v>20</v>
      </c>
      <c r="E80" s="1137" t="s">
        <v>73</v>
      </c>
      <c r="F80" s="1138"/>
      <c r="G80" s="1138"/>
      <c r="H80" s="1137" t="s">
        <v>74</v>
      </c>
      <c r="I80" s="1138"/>
      <c r="J80" s="1139"/>
      <c r="K80" s="1138" t="s">
        <v>74</v>
      </c>
      <c r="L80" s="1138"/>
      <c r="M80" s="1139"/>
    </row>
    <row r="81" spans="1:13" ht="13.5" thickTop="1" x14ac:dyDescent="0.2">
      <c r="A81" s="230" t="s">
        <v>20</v>
      </c>
      <c r="E81" s="1116">
        <f>G11</f>
        <v>44682</v>
      </c>
      <c r="F81" s="1117"/>
      <c r="G81" s="1118"/>
      <c r="H81" s="242" t="s">
        <v>75</v>
      </c>
      <c r="I81" s="243"/>
      <c r="J81" s="318">
        <f ca="1">SUMIF(B16:B34,"A",J16:J34)</f>
        <v>212297.04999999996</v>
      </c>
      <c r="K81" s="243" t="s">
        <v>75</v>
      </c>
      <c r="L81" s="243"/>
      <c r="M81" s="318">
        <f ca="1">SUMIF(B39:B61,"A",J39:J61)</f>
        <v>196008.5</v>
      </c>
    </row>
    <row r="82" spans="1:13" x14ac:dyDescent="0.2">
      <c r="A82" s="230" t="s">
        <v>20</v>
      </c>
      <c r="E82" s="1119"/>
      <c r="F82" s="1120"/>
      <c r="G82" s="1121"/>
      <c r="H82" s="242" t="s">
        <v>76</v>
      </c>
      <c r="I82" s="243"/>
      <c r="J82" s="319">
        <f ca="1">L34</f>
        <v>212297.04999999996</v>
      </c>
      <c r="K82" s="243" t="s">
        <v>76</v>
      </c>
      <c r="L82" s="243"/>
      <c r="M82" s="319" t="e">
        <f ca="1">L61</f>
        <v>#REF!</v>
      </c>
    </row>
    <row r="83" spans="1:13" ht="13.5" thickBot="1" x14ac:dyDescent="0.25">
      <c r="A83" s="230" t="s">
        <v>20</v>
      </c>
      <c r="E83" s="1122"/>
      <c r="F83" s="1123"/>
      <c r="G83" s="1124"/>
      <c r="H83" s="248" t="s">
        <v>77</v>
      </c>
      <c r="I83" s="249"/>
      <c r="J83" s="320">
        <f ca="1">J81/J82</f>
        <v>1</v>
      </c>
      <c r="K83" s="249" t="s">
        <v>77</v>
      </c>
      <c r="L83" s="249"/>
      <c r="M83" s="320" t="e">
        <f ca="1">IF(M81=0,0,M81/M82)</f>
        <v>#REF!</v>
      </c>
    </row>
    <row r="84" spans="1:13" ht="14.25" thickTop="1" thickBot="1" x14ac:dyDescent="0.25">
      <c r="A84" s="230" t="s">
        <v>20</v>
      </c>
    </row>
    <row r="85" spans="1:13" ht="14.25" thickTop="1" thickBot="1" x14ac:dyDescent="0.25">
      <c r="A85" s="230" t="s">
        <v>20</v>
      </c>
      <c r="E85" s="1125" t="s">
        <v>78</v>
      </c>
      <c r="F85" s="1126"/>
      <c r="G85" s="1126"/>
      <c r="H85" s="1126"/>
      <c r="I85" s="321">
        <f>SUMIF(F16:F34,"Sinal",J16:J34)/J34</f>
        <v>1.5228426395939089E-2</v>
      </c>
      <c r="J85" s="322" t="s">
        <v>79</v>
      </c>
      <c r="K85" s="323"/>
      <c r="L85" s="323"/>
      <c r="M85" s="321" t="e">
        <f>IF(J61=0,0,SUMIF(F39:F60,"Sinal",J39:J60)/J61)</f>
        <v>#REF!</v>
      </c>
    </row>
    <row r="86" spans="1:13" ht="14.25" thickTop="1" thickBot="1" x14ac:dyDescent="0.25">
      <c r="A86" s="230" t="s">
        <v>20</v>
      </c>
    </row>
    <row r="87" spans="1:13" ht="14.25" thickTop="1" thickBot="1" x14ac:dyDescent="0.25">
      <c r="A87" s="230" t="s">
        <v>20</v>
      </c>
      <c r="E87" s="1110" t="s">
        <v>80</v>
      </c>
      <c r="F87" s="1111"/>
      <c r="G87" s="1112" t="e">
        <f ca="1">M34</f>
        <v>#REF!</v>
      </c>
      <c r="H87" s="1113"/>
      <c r="I87" s="324" t="s">
        <v>81</v>
      </c>
      <c r="J87" s="325" t="e">
        <f ca="1">M61</f>
        <v>#REF!</v>
      </c>
      <c r="K87" s="324" t="s">
        <v>82</v>
      </c>
      <c r="L87" s="326" t="e">
        <f ca="1">G87-J87</f>
        <v>#REF!</v>
      </c>
      <c r="M87" s="327" t="e">
        <f ca="1">L87/G87</f>
        <v>#REF!</v>
      </c>
    </row>
    <row r="88" spans="1:13" ht="13.5" thickTop="1" x14ac:dyDescent="0.2"/>
  </sheetData>
  <autoFilter ref="A1:A88"/>
  <mergeCells count="39">
    <mergeCell ref="K80:M80"/>
    <mergeCell ref="H75:J76"/>
    <mergeCell ref="E65:F66"/>
    <mergeCell ref="E67:F67"/>
    <mergeCell ref="K75:M76"/>
    <mergeCell ref="K74:M74"/>
    <mergeCell ref="H74:J74"/>
    <mergeCell ref="I65:K65"/>
    <mergeCell ref="L65:M65"/>
    <mergeCell ref="E74:G74"/>
    <mergeCell ref="N3:O3"/>
    <mergeCell ref="O37:O38"/>
    <mergeCell ref="M37:M38"/>
    <mergeCell ref="M14:M15"/>
    <mergeCell ref="N37:N38"/>
    <mergeCell ref="L3:M3"/>
    <mergeCell ref="L9:M9"/>
    <mergeCell ref="K14:L14"/>
    <mergeCell ref="K37:L37"/>
    <mergeCell ref="N36:O36"/>
    <mergeCell ref="I37:J37"/>
    <mergeCell ref="E80:G80"/>
    <mergeCell ref="H80:J80"/>
    <mergeCell ref="E61:H61"/>
    <mergeCell ref="I14:J14"/>
    <mergeCell ref="F37:G38"/>
    <mergeCell ref="G65:H65"/>
    <mergeCell ref="E70:F70"/>
    <mergeCell ref="E68:F68"/>
    <mergeCell ref="E87:F87"/>
    <mergeCell ref="G87:H87"/>
    <mergeCell ref="F14:G15"/>
    <mergeCell ref="E81:G83"/>
    <mergeCell ref="E85:H85"/>
    <mergeCell ref="E75:G76"/>
    <mergeCell ref="E69:F69"/>
    <mergeCell ref="E37:E38"/>
    <mergeCell ref="E14:E15"/>
    <mergeCell ref="E34:H34"/>
  </mergeCells>
  <phoneticPr fontId="2" type="noConversion"/>
  <conditionalFormatting sqref="I60">
    <cfRule type="cellIs" dxfId="0" priority="1" stopIfTrue="1" operator="greaterThan">
      <formula>$S$37</formula>
    </cfRule>
  </conditionalFormatting>
  <dataValidations disablePrompts="1" count="2">
    <dataValidation type="list" allowBlank="1" showInputMessage="1" showErrorMessage="1" sqref="F39:F60 F16:F33">
      <formula1>$Y$5:$Y$9</formula1>
    </dataValidation>
    <dataValidation type="list" allowBlank="1" showInputMessage="1" showErrorMessage="1" sqref="G39:G60 G16:G33">
      <formula1>$Z$5:$Z$6</formula1>
    </dataValidation>
  </dataValidations>
  <printOptions horizontalCentered="1"/>
  <pageMargins left="0.55118110236220474" right="0.55118110236220474" top="0.78740157480314965" bottom="0.78740157480314965" header="0.31496062992125984" footer="0.51181102362204722"/>
  <pageSetup paperSize="9" scale="61" orientation="portrait" horizontalDpi="4294967292" r:id="rId1"/>
  <headerFooter alignWithMargins="0"/>
  <cellWatches>
    <cellWatch r="F60"/>
  </cellWatche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8" r:id="rId4" name="Button 2">
              <controlPr defaultSize="0" print="0" autoFill="0" autoPict="0" macro="[0]!SemComissao">
                <anchor moveWithCells="1" sizeWithCells="1">
                  <from>
                    <xdr:col>13</xdr:col>
                    <xdr:colOff>95250</xdr:colOff>
                    <xdr:row>3</xdr:row>
                    <xdr:rowOff>76200</xdr:rowOff>
                  </from>
                  <to>
                    <xdr:col>14</xdr:col>
                    <xdr:colOff>571500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5" name="Button 3">
              <controlPr defaultSize="0" print="0" autoFill="0" autoPict="0" macro="[0]!Com_Comissão">
                <anchor moveWithCells="1" sizeWithCells="1">
                  <from>
                    <xdr:col>13</xdr:col>
                    <xdr:colOff>114300</xdr:colOff>
                    <xdr:row>5</xdr:row>
                    <xdr:rowOff>152400</xdr:rowOff>
                  </from>
                  <to>
                    <xdr:col>14</xdr:col>
                    <xdr:colOff>561975</xdr:colOff>
                    <xdr:row>7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5">
    <tabColor theme="0" tint="-0.14999847407452621"/>
  </sheetPr>
  <dimension ref="A1:M52"/>
  <sheetViews>
    <sheetView zoomScale="85" zoomScaleNormal="85" workbookViewId="0">
      <selection activeCell="C10" sqref="C10"/>
    </sheetView>
  </sheetViews>
  <sheetFormatPr defaultRowHeight="12.75" x14ac:dyDescent="0.2"/>
  <cols>
    <col min="1" max="1" width="10.42578125" style="368" bestFit="1" customWidth="1"/>
    <col min="2" max="2" width="17" style="368" customWidth="1"/>
    <col min="3" max="3" width="22.5703125" style="368" customWidth="1"/>
    <col min="4" max="4" width="17.28515625" style="368" customWidth="1"/>
    <col min="5" max="5" width="17" style="368" customWidth="1"/>
    <col min="6" max="6" width="9.140625" style="368"/>
    <col min="7" max="7" width="10.140625" style="368" bestFit="1" customWidth="1"/>
    <col min="8" max="9" width="10.28515625" style="368" bestFit="1" customWidth="1"/>
    <col min="10" max="11" width="9.140625" style="368"/>
    <col min="12" max="12" width="10.140625" style="368" bestFit="1" customWidth="1"/>
    <col min="13" max="16384" width="9.140625" style="368"/>
  </cols>
  <sheetData>
    <row r="1" spans="1:13" s="363" customFormat="1" ht="18" x14ac:dyDescent="0.2">
      <c r="A1"/>
      <c r="B1" s="1154" t="s">
        <v>396</v>
      </c>
      <c r="C1" s="1155"/>
      <c r="D1" s="1155"/>
      <c r="E1" s="1155"/>
      <c r="F1" s="204"/>
    </row>
    <row r="2" spans="1:13" s="364" customFormat="1" ht="45" hidden="1" customHeight="1" x14ac:dyDescent="0.2">
      <c r="A2" s="208"/>
      <c r="B2" s="210" t="str">
        <f>CONCATENATE($B$1,B3)</f>
        <v>All Nations BMÊS DE INÍCIO</v>
      </c>
      <c r="C2" s="210" t="str">
        <f>CONCATENATE($B$1,C3)</f>
        <v>All Nations BQTDE PARCELAS</v>
      </c>
      <c r="D2" s="210" t="str">
        <f>CONCATENATE($B$1,D3)</f>
        <v>All Nations B% FLUXO</v>
      </c>
      <c r="E2" s="210" t="str">
        <f>CONCATENATE($B$1,E3)</f>
        <v>All Nations BTOTAL</v>
      </c>
      <c r="F2" s="209"/>
    </row>
    <row r="3" spans="1:13" s="365" customFormat="1" ht="31.5" x14ac:dyDescent="0.2">
      <c r="A3" s="205"/>
      <c r="B3" s="206" t="s">
        <v>166</v>
      </c>
      <c r="C3" s="206" t="s">
        <v>160</v>
      </c>
      <c r="D3" s="206" t="s">
        <v>228</v>
      </c>
      <c r="E3" s="206" t="s">
        <v>60</v>
      </c>
      <c r="F3" s="207"/>
    </row>
    <row r="4" spans="1:13" s="363" customFormat="1" x14ac:dyDescent="0.2">
      <c r="A4" s="341" t="s">
        <v>158</v>
      </c>
      <c r="B4" s="341">
        <v>0</v>
      </c>
      <c r="C4" s="341">
        <v>1</v>
      </c>
      <c r="D4" s="346">
        <v>1.4999999999999999E-2</v>
      </c>
      <c r="E4" s="1156" t="s">
        <v>158</v>
      </c>
      <c r="F4" s="204"/>
    </row>
    <row r="5" spans="1:13" s="363" customFormat="1" x14ac:dyDescent="0.2">
      <c r="A5" s="341">
        <v>30</v>
      </c>
      <c r="B5" s="341">
        <v>1</v>
      </c>
      <c r="C5" s="341">
        <v>1</v>
      </c>
      <c r="D5" s="342">
        <v>1.4999999999999999E-2</v>
      </c>
      <c r="E5" s="1157"/>
      <c r="F5" s="204"/>
      <c r="J5" s="366" t="s">
        <v>761</v>
      </c>
    </row>
    <row r="6" spans="1:13" s="363" customFormat="1" x14ac:dyDescent="0.2">
      <c r="A6" s="341">
        <v>60</v>
      </c>
      <c r="B6" s="341">
        <v>2</v>
      </c>
      <c r="C6" s="341">
        <v>1</v>
      </c>
      <c r="D6" s="342">
        <f>1.5%*C6</f>
        <v>1.4999999999999999E-2</v>
      </c>
      <c r="E6" s="1157"/>
      <c r="F6" s="204"/>
    </row>
    <row r="7" spans="1:13" s="363" customFormat="1" x14ac:dyDescent="0.2">
      <c r="A7" s="341">
        <v>90</v>
      </c>
      <c r="B7" s="341">
        <v>3</v>
      </c>
      <c r="C7" s="341">
        <v>1</v>
      </c>
      <c r="D7" s="342">
        <v>1.4999999999999999E-2</v>
      </c>
      <c r="E7" s="1158"/>
      <c r="F7" s="204"/>
    </row>
    <row r="8" spans="1:13" s="366" customFormat="1" x14ac:dyDescent="0.2">
      <c r="A8" s="338" t="s">
        <v>27</v>
      </c>
      <c r="B8" s="340">
        <v>5</v>
      </c>
      <c r="C8" s="338">
        <v>3</v>
      </c>
      <c r="D8" s="347">
        <v>0.03</v>
      </c>
      <c r="E8" s="348" t="s">
        <v>243</v>
      </c>
      <c r="F8" s="344"/>
      <c r="J8" s="580"/>
      <c r="K8" s="580"/>
      <c r="L8" s="580"/>
      <c r="M8" s="580"/>
    </row>
    <row r="9" spans="1:13" s="363" customFormat="1" x14ac:dyDescent="0.2">
      <c r="A9" s="338" t="s">
        <v>237</v>
      </c>
      <c r="B9" s="340">
        <v>4</v>
      </c>
      <c r="C9" s="360">
        <v>26</v>
      </c>
      <c r="D9" s="349">
        <v>0.11</v>
      </c>
      <c r="E9" s="392" t="s">
        <v>243</v>
      </c>
      <c r="F9" s="204"/>
      <c r="J9" s="581">
        <v>43647</v>
      </c>
      <c r="K9" s="398">
        <v>1</v>
      </c>
      <c r="L9" s="398"/>
      <c r="M9" s="398"/>
    </row>
    <row r="10" spans="1:13" s="363" customFormat="1" x14ac:dyDescent="0.2">
      <c r="A10" s="339" t="s">
        <v>13</v>
      </c>
      <c r="B10" s="339">
        <v>4</v>
      </c>
      <c r="C10" s="339">
        <v>1</v>
      </c>
      <c r="D10" s="345">
        <v>0.8</v>
      </c>
      <c r="E10" s="343" t="s">
        <v>13</v>
      </c>
      <c r="F10" s="204"/>
      <c r="J10" s="581">
        <v>43678</v>
      </c>
      <c r="K10" s="398">
        <v>2</v>
      </c>
      <c r="L10" s="398" t="s">
        <v>37</v>
      </c>
      <c r="M10" s="398"/>
    </row>
    <row r="11" spans="1:13" s="363" customFormat="1" x14ac:dyDescent="0.2">
      <c r="A11"/>
      <c r="B11" s="203">
        <v>0</v>
      </c>
      <c r="C11" s="203">
        <v>0</v>
      </c>
      <c r="D11" s="213">
        <v>0</v>
      </c>
      <c r="E11" s="203"/>
      <c r="F11" s="204"/>
      <c r="J11" s="581">
        <v>43709</v>
      </c>
      <c r="K11" s="398">
        <v>3</v>
      </c>
      <c r="L11" s="398" t="s">
        <v>37</v>
      </c>
      <c r="M11" s="398"/>
    </row>
    <row r="12" spans="1:13" s="363" customFormat="1" x14ac:dyDescent="0.2">
      <c r="A12"/>
      <c r="B12" s="203">
        <v>0</v>
      </c>
      <c r="C12" s="203">
        <v>0</v>
      </c>
      <c r="D12" s="213">
        <v>0</v>
      </c>
      <c r="E12" s="203"/>
      <c r="F12" s="204"/>
      <c r="I12" s="375"/>
      <c r="J12" s="581">
        <v>43739</v>
      </c>
      <c r="K12" s="398">
        <v>4</v>
      </c>
      <c r="L12" s="398" t="s">
        <v>736</v>
      </c>
      <c r="M12" s="398"/>
    </row>
    <row r="13" spans="1:13" s="363" customFormat="1" x14ac:dyDescent="0.2">
      <c r="A13"/>
      <c r="B13"/>
      <c r="C13"/>
      <c r="D13" s="228">
        <f>SUM(D4:D12)</f>
        <v>1</v>
      </c>
      <c r="E13"/>
      <c r="F13" s="204"/>
      <c r="H13" s="375"/>
      <c r="J13" s="581">
        <v>43770</v>
      </c>
      <c r="K13" s="398">
        <v>5</v>
      </c>
      <c r="L13" s="582" t="s">
        <v>37</v>
      </c>
      <c r="M13" s="398"/>
    </row>
    <row r="14" spans="1:13" s="363" customFormat="1" x14ac:dyDescent="0.2">
      <c r="A14"/>
      <c r="B14"/>
      <c r="C14"/>
      <c r="D14"/>
      <c r="E14"/>
      <c r="F14" s="204"/>
      <c r="J14" s="581">
        <v>43800</v>
      </c>
      <c r="K14" s="398">
        <v>6</v>
      </c>
      <c r="L14" s="398" t="s">
        <v>37</v>
      </c>
      <c r="M14" s="398"/>
    </row>
    <row r="15" spans="1:13" s="363" customFormat="1" x14ac:dyDescent="0.2">
      <c r="A15" s="357"/>
      <c r="B15"/>
      <c r="C15"/>
      <c r="D15" s="227"/>
      <c r="E15" s="211"/>
      <c r="F15" s="204"/>
      <c r="J15" s="581">
        <v>43831</v>
      </c>
      <c r="K15" s="398">
        <v>7</v>
      </c>
      <c r="L15" s="398" t="s">
        <v>37</v>
      </c>
      <c r="M15" s="398"/>
    </row>
    <row r="16" spans="1:13" x14ac:dyDescent="0.2">
      <c r="A16" s="369"/>
      <c r="D16" s="370"/>
      <c r="F16" s="371"/>
      <c r="J16" s="581">
        <v>43862</v>
      </c>
      <c r="K16" s="398">
        <v>8</v>
      </c>
      <c r="L16" s="398" t="s">
        <v>37</v>
      </c>
      <c r="M16" s="583"/>
    </row>
    <row r="17" spans="1:13" x14ac:dyDescent="0.2">
      <c r="A17" s="369">
        <v>43647</v>
      </c>
      <c r="B17" s="368">
        <v>1</v>
      </c>
      <c r="D17" s="372"/>
      <c r="E17" s="371"/>
      <c r="F17" s="371"/>
      <c r="J17" s="581">
        <v>43891</v>
      </c>
      <c r="K17" s="398">
        <v>9</v>
      </c>
      <c r="L17" s="583" t="s">
        <v>737</v>
      </c>
      <c r="M17" s="583"/>
    </row>
    <row r="18" spans="1:13" x14ac:dyDescent="0.2">
      <c r="A18" s="369">
        <v>43678</v>
      </c>
      <c r="B18" s="368">
        <v>2</v>
      </c>
      <c r="C18" s="373"/>
      <c r="D18" s="372"/>
      <c r="F18" s="371"/>
      <c r="G18" s="369"/>
      <c r="J18" s="581">
        <v>43922</v>
      </c>
      <c r="K18" s="398">
        <v>10</v>
      </c>
      <c r="L18" s="583" t="s">
        <v>37</v>
      </c>
      <c r="M18" s="583"/>
    </row>
    <row r="19" spans="1:13" x14ac:dyDescent="0.2">
      <c r="A19" s="369">
        <v>43709</v>
      </c>
      <c r="B19" s="368">
        <v>3</v>
      </c>
      <c r="D19" s="372"/>
      <c r="F19" s="371"/>
      <c r="G19" s="369"/>
      <c r="J19" s="581">
        <v>43952</v>
      </c>
      <c r="K19" s="398">
        <v>11</v>
      </c>
      <c r="L19" s="583" t="s">
        <v>37</v>
      </c>
      <c r="M19" s="583"/>
    </row>
    <row r="20" spans="1:13" x14ac:dyDescent="0.2">
      <c r="A20" s="369">
        <v>43739</v>
      </c>
      <c r="B20" s="368">
        <v>4</v>
      </c>
      <c r="D20" s="372"/>
      <c r="F20" s="371"/>
      <c r="J20" s="581">
        <v>43983</v>
      </c>
      <c r="K20" s="398">
        <v>12</v>
      </c>
      <c r="L20" s="583"/>
      <c r="M20" s="583"/>
    </row>
    <row r="21" spans="1:13" x14ac:dyDescent="0.2">
      <c r="A21" s="369">
        <v>43770</v>
      </c>
      <c r="B21" s="368">
        <v>5</v>
      </c>
      <c r="D21" s="372"/>
      <c r="F21" s="371"/>
      <c r="I21" s="369"/>
      <c r="J21" s="581">
        <v>44013</v>
      </c>
      <c r="K21" s="398">
        <v>13</v>
      </c>
      <c r="L21" s="583" t="s">
        <v>37</v>
      </c>
      <c r="M21" s="583"/>
    </row>
    <row r="22" spans="1:13" x14ac:dyDescent="0.2">
      <c r="A22" s="369">
        <v>43800</v>
      </c>
      <c r="B22" s="368">
        <v>6</v>
      </c>
      <c r="D22" s="372"/>
      <c r="F22" s="367"/>
      <c r="J22" s="581">
        <v>44044</v>
      </c>
      <c r="K22" s="398">
        <v>14</v>
      </c>
      <c r="L22" s="583" t="s">
        <v>37</v>
      </c>
      <c r="M22" s="583"/>
    </row>
    <row r="23" spans="1:13" x14ac:dyDescent="0.2">
      <c r="A23" s="369">
        <v>43831</v>
      </c>
      <c r="B23" s="368">
        <v>7</v>
      </c>
      <c r="D23" s="372"/>
      <c r="J23" s="581">
        <v>44075</v>
      </c>
      <c r="K23" s="398">
        <v>15</v>
      </c>
      <c r="L23" s="583" t="s">
        <v>37</v>
      </c>
      <c r="M23" s="583"/>
    </row>
    <row r="24" spans="1:13" x14ac:dyDescent="0.2">
      <c r="A24" s="369">
        <v>43862</v>
      </c>
      <c r="B24" s="368">
        <v>8</v>
      </c>
      <c r="D24" s="372"/>
      <c r="J24" s="581">
        <v>44105</v>
      </c>
      <c r="K24" s="398">
        <v>16</v>
      </c>
      <c r="L24" s="583" t="s">
        <v>37</v>
      </c>
      <c r="M24" s="583"/>
    </row>
    <row r="25" spans="1:13" x14ac:dyDescent="0.2">
      <c r="A25" s="369">
        <v>43891</v>
      </c>
      <c r="B25" s="368">
        <v>9</v>
      </c>
      <c r="D25" s="372"/>
      <c r="J25" s="581">
        <v>44136</v>
      </c>
      <c r="K25" s="398">
        <v>17</v>
      </c>
      <c r="L25" s="583" t="s">
        <v>37</v>
      </c>
      <c r="M25" s="583"/>
    </row>
    <row r="26" spans="1:13" x14ac:dyDescent="0.2">
      <c r="A26" s="369">
        <v>43922</v>
      </c>
      <c r="B26" s="368">
        <v>10</v>
      </c>
      <c r="D26" s="372"/>
      <c r="J26" s="581">
        <v>44166</v>
      </c>
      <c r="K26" s="398">
        <v>18</v>
      </c>
      <c r="L26" s="583" t="s">
        <v>37</v>
      </c>
      <c r="M26" s="583"/>
    </row>
    <row r="27" spans="1:13" x14ac:dyDescent="0.2">
      <c r="A27" s="369">
        <v>43952</v>
      </c>
      <c r="B27" s="368">
        <v>11</v>
      </c>
      <c r="D27" s="372"/>
      <c r="J27" s="581">
        <v>44197</v>
      </c>
      <c r="K27" s="398">
        <v>19</v>
      </c>
      <c r="L27" s="583" t="s">
        <v>37</v>
      </c>
      <c r="M27" s="583"/>
    </row>
    <row r="28" spans="1:13" x14ac:dyDescent="0.2">
      <c r="A28" s="369">
        <v>43983</v>
      </c>
      <c r="B28" s="368">
        <v>12</v>
      </c>
      <c r="D28" s="372"/>
      <c r="J28" s="581">
        <v>44228</v>
      </c>
      <c r="K28" s="398">
        <v>20</v>
      </c>
      <c r="L28" s="583" t="s">
        <v>37</v>
      </c>
      <c r="M28" s="583"/>
    </row>
    <row r="29" spans="1:13" x14ac:dyDescent="0.2">
      <c r="A29" s="369">
        <v>44013</v>
      </c>
      <c r="B29" s="368">
        <v>13</v>
      </c>
      <c r="D29" s="372"/>
      <c r="J29" s="581">
        <v>44256</v>
      </c>
      <c r="K29" s="398">
        <v>21</v>
      </c>
      <c r="L29" s="583" t="s">
        <v>737</v>
      </c>
      <c r="M29" s="583"/>
    </row>
    <row r="30" spans="1:13" x14ac:dyDescent="0.2">
      <c r="A30" s="369">
        <v>44044</v>
      </c>
      <c r="B30" s="368">
        <v>14</v>
      </c>
      <c r="D30" s="372"/>
      <c r="J30" s="581">
        <v>44287</v>
      </c>
      <c r="K30" s="398">
        <v>22</v>
      </c>
      <c r="L30" s="583" t="s">
        <v>37</v>
      </c>
      <c r="M30" s="583"/>
    </row>
    <row r="31" spans="1:13" x14ac:dyDescent="0.2">
      <c r="A31" s="369">
        <v>44075</v>
      </c>
      <c r="B31" s="368">
        <v>15</v>
      </c>
      <c r="D31" s="372"/>
      <c r="J31" s="581">
        <v>44317</v>
      </c>
      <c r="K31" s="398">
        <v>23</v>
      </c>
      <c r="L31" s="583" t="s">
        <v>37</v>
      </c>
      <c r="M31" s="583"/>
    </row>
    <row r="32" spans="1:13" x14ac:dyDescent="0.2">
      <c r="A32" s="369">
        <v>44105</v>
      </c>
      <c r="B32" s="368">
        <v>16</v>
      </c>
      <c r="D32" s="372"/>
      <c r="J32" s="581">
        <v>44348</v>
      </c>
      <c r="K32" s="398">
        <v>24</v>
      </c>
      <c r="L32" s="583" t="s">
        <v>37</v>
      </c>
      <c r="M32" s="583"/>
    </row>
    <row r="33" spans="1:13" x14ac:dyDescent="0.2">
      <c r="A33" s="369">
        <v>44136</v>
      </c>
      <c r="B33" s="368">
        <v>17</v>
      </c>
      <c r="D33" s="372"/>
      <c r="J33" s="581">
        <v>44378</v>
      </c>
      <c r="K33" s="398">
        <v>25</v>
      </c>
      <c r="L33" s="583" t="s">
        <v>37</v>
      </c>
      <c r="M33" s="583"/>
    </row>
    <row r="34" spans="1:13" x14ac:dyDescent="0.2">
      <c r="A34" s="369">
        <v>44166</v>
      </c>
      <c r="B34" s="368">
        <v>18</v>
      </c>
      <c r="D34" s="372"/>
      <c r="J34" s="581">
        <v>44409</v>
      </c>
      <c r="K34" s="398">
        <v>26</v>
      </c>
      <c r="L34" s="583" t="s">
        <v>37</v>
      </c>
      <c r="M34" s="583"/>
    </row>
    <row r="35" spans="1:13" x14ac:dyDescent="0.2">
      <c r="A35" s="369">
        <v>44197</v>
      </c>
      <c r="B35" s="368">
        <v>19</v>
      </c>
      <c r="D35" s="372"/>
      <c r="J35" s="581">
        <v>44440</v>
      </c>
      <c r="K35" s="398">
        <v>27</v>
      </c>
      <c r="L35" s="583" t="s">
        <v>37</v>
      </c>
      <c r="M35" s="583"/>
    </row>
    <row r="36" spans="1:13" x14ac:dyDescent="0.2">
      <c r="A36" s="369">
        <v>44228</v>
      </c>
      <c r="B36" s="368">
        <v>20</v>
      </c>
      <c r="D36" s="372"/>
      <c r="J36" s="581">
        <v>44470</v>
      </c>
      <c r="K36" s="398">
        <v>28</v>
      </c>
      <c r="L36" s="583" t="s">
        <v>37</v>
      </c>
      <c r="M36" s="583"/>
    </row>
    <row r="37" spans="1:13" x14ac:dyDescent="0.2">
      <c r="A37" s="369">
        <v>44256</v>
      </c>
      <c r="B37" s="368">
        <v>21</v>
      </c>
      <c r="D37" s="372"/>
      <c r="J37" s="581">
        <v>44501</v>
      </c>
      <c r="K37" s="398">
        <v>29</v>
      </c>
      <c r="L37" s="583" t="s">
        <v>37</v>
      </c>
      <c r="M37" s="583"/>
    </row>
    <row r="38" spans="1:13" x14ac:dyDescent="0.2">
      <c r="A38" s="369">
        <v>44287</v>
      </c>
      <c r="B38" s="368">
        <v>22</v>
      </c>
      <c r="D38" s="372"/>
      <c r="J38" s="581">
        <v>44531</v>
      </c>
      <c r="K38" s="398">
        <v>30</v>
      </c>
      <c r="L38" s="583" t="s">
        <v>37</v>
      </c>
      <c r="M38" s="583"/>
    </row>
    <row r="39" spans="1:13" x14ac:dyDescent="0.2">
      <c r="A39" s="369">
        <v>44317</v>
      </c>
      <c r="B39" s="368">
        <v>23</v>
      </c>
      <c r="D39" s="372"/>
      <c r="J39" s="581">
        <v>44562</v>
      </c>
      <c r="K39" s="398">
        <v>31</v>
      </c>
      <c r="L39" s="583" t="s">
        <v>738</v>
      </c>
      <c r="M39" s="583"/>
    </row>
    <row r="40" spans="1:13" x14ac:dyDescent="0.2">
      <c r="A40" s="369">
        <v>44348</v>
      </c>
      <c r="B40" s="368">
        <v>24</v>
      </c>
      <c r="D40" s="372"/>
      <c r="J40" s="581">
        <v>44593</v>
      </c>
      <c r="K40" s="398">
        <v>32</v>
      </c>
      <c r="L40" s="583"/>
      <c r="M40" s="583"/>
    </row>
    <row r="41" spans="1:13" x14ac:dyDescent="0.2">
      <c r="A41" s="369">
        <v>44378</v>
      </c>
      <c r="B41" s="368">
        <v>25</v>
      </c>
      <c r="D41" s="372"/>
      <c r="J41" s="581">
        <v>44621</v>
      </c>
      <c r="K41" s="398">
        <v>33</v>
      </c>
      <c r="L41" s="583"/>
      <c r="M41" s="583"/>
    </row>
    <row r="42" spans="1:13" x14ac:dyDescent="0.2">
      <c r="A42" s="369">
        <v>44409</v>
      </c>
      <c r="B42" s="368">
        <v>26</v>
      </c>
      <c r="D42" s="372"/>
      <c r="J42" s="581">
        <v>44652</v>
      </c>
      <c r="K42" s="398">
        <v>34</v>
      </c>
      <c r="L42" s="583"/>
      <c r="M42" s="583"/>
    </row>
    <row r="43" spans="1:13" x14ac:dyDescent="0.2">
      <c r="A43" s="369">
        <v>44440</v>
      </c>
      <c r="B43" s="368">
        <v>27</v>
      </c>
      <c r="D43" s="372"/>
      <c r="J43" s="581">
        <v>44682</v>
      </c>
      <c r="K43" s="398">
        <v>35</v>
      </c>
      <c r="L43" s="583"/>
      <c r="M43" s="583"/>
    </row>
    <row r="44" spans="1:13" x14ac:dyDescent="0.2">
      <c r="A44" s="369">
        <v>44470</v>
      </c>
      <c r="B44" s="368">
        <v>28</v>
      </c>
      <c r="D44" s="372"/>
      <c r="J44" s="581"/>
      <c r="K44" s="398"/>
      <c r="L44" s="583"/>
      <c r="M44" s="583"/>
    </row>
    <row r="45" spans="1:13" x14ac:dyDescent="0.2">
      <c r="A45" s="369">
        <v>44501</v>
      </c>
      <c r="B45" s="368">
        <v>29</v>
      </c>
      <c r="D45" s="372"/>
    </row>
    <row r="46" spans="1:13" x14ac:dyDescent="0.2">
      <c r="A46" s="369">
        <v>44531</v>
      </c>
      <c r="B46" s="368">
        <v>30</v>
      </c>
      <c r="D46" s="372"/>
    </row>
    <row r="47" spans="1:13" x14ac:dyDescent="0.2">
      <c r="A47" s="369">
        <v>44562</v>
      </c>
      <c r="B47" s="368">
        <v>31</v>
      </c>
      <c r="D47" s="372"/>
    </row>
    <row r="48" spans="1:13" x14ac:dyDescent="0.2">
      <c r="A48" s="369">
        <v>44593</v>
      </c>
      <c r="B48" s="368">
        <v>32</v>
      </c>
    </row>
    <row r="49" spans="1:4" x14ac:dyDescent="0.2">
      <c r="A49" s="369">
        <v>44621</v>
      </c>
      <c r="B49" s="368">
        <v>33</v>
      </c>
      <c r="D49" s="367"/>
    </row>
    <row r="50" spans="1:4" x14ac:dyDescent="0.2">
      <c r="A50" s="369">
        <v>44652</v>
      </c>
      <c r="B50" s="368">
        <v>34</v>
      </c>
    </row>
    <row r="51" spans="1:4" x14ac:dyDescent="0.2">
      <c r="A51" s="369">
        <v>44682</v>
      </c>
      <c r="B51" s="368">
        <v>35</v>
      </c>
    </row>
    <row r="52" spans="1:4" x14ac:dyDescent="0.2">
      <c r="A52" s="369"/>
    </row>
  </sheetData>
  <sheetProtection algorithmName="SHA-512" hashValue="SJfhAP6ctw2xPntZfKymPcpEqQjDTRXzcmMAqWrrij1kQAjPb8CtjRp2oCOISOb1AEUL4QcOjf8fiGzxeYAwvQ==" saltValue="mrM0e5+7Xtc6lXc4x5o39Q==" spinCount="100000" sheet="1" objects="1" scenarios="1"/>
  <mergeCells count="2">
    <mergeCell ref="B1:E1"/>
    <mergeCell ref="E4:E7"/>
  </mergeCells>
  <phoneticPr fontId="19" type="noConversion"/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7">
    <tabColor theme="0" tint="-0.14999847407452621"/>
    <pageSetUpPr fitToPage="1"/>
  </sheetPr>
  <dimension ref="A1:EG250"/>
  <sheetViews>
    <sheetView showGridLines="0" topLeftCell="A3" zoomScale="85" zoomScaleNormal="85" workbookViewId="0">
      <selection activeCell="R16" sqref="R16:R142"/>
    </sheetView>
  </sheetViews>
  <sheetFormatPr defaultRowHeight="12.75" x14ac:dyDescent="0.2"/>
  <cols>
    <col min="1" max="1" width="18.7109375" style="4" customWidth="1"/>
    <col min="2" max="2" width="54.28515625" style="18" customWidth="1"/>
    <col min="3" max="3" width="9.28515625" style="18" customWidth="1"/>
    <col min="4" max="4" width="30.42578125" style="4" bestFit="1" customWidth="1"/>
    <col min="5" max="9" width="20.7109375" style="4" customWidth="1"/>
    <col min="10" max="10" width="5.140625" style="4" bestFit="1" customWidth="1"/>
    <col min="11" max="11" width="10.28515625" style="4" bestFit="1" customWidth="1"/>
    <col min="12" max="12" width="3.140625" style="4" bestFit="1" customWidth="1"/>
    <col min="13" max="13" width="5.140625" style="4" bestFit="1" customWidth="1"/>
    <col min="14" max="14" width="8.42578125" style="4" bestFit="1" customWidth="1"/>
    <col min="15" max="15" width="11.140625" style="4" bestFit="1" customWidth="1"/>
    <col min="16" max="16" width="71.5703125" style="12" bestFit="1" customWidth="1"/>
    <col min="17" max="17" width="16" style="12" bestFit="1" customWidth="1"/>
    <col min="18" max="18" width="16.42578125" style="12" bestFit="1" customWidth="1"/>
    <col min="19" max="19" width="10.42578125" style="4" customWidth="1"/>
    <col min="20" max="20" width="19.5703125" style="4" customWidth="1"/>
    <col min="21" max="21" width="73.5703125" style="12" bestFit="1" customWidth="1"/>
    <col min="22" max="23" width="19.5703125" style="12" customWidth="1"/>
    <col min="24" max="25" width="19.5703125" style="4" customWidth="1"/>
    <col min="26" max="26" width="28.42578125" style="12" customWidth="1"/>
    <col min="27" max="28" width="19.5703125" style="12" customWidth="1"/>
    <col min="29" max="30" width="19.5703125" style="4" customWidth="1"/>
    <col min="31" max="31" width="27.85546875" style="12" bestFit="1" customWidth="1"/>
    <col min="32" max="33" width="19.5703125" style="12" customWidth="1"/>
    <col min="34" max="35" width="19.5703125" style="4" customWidth="1"/>
    <col min="36" max="38" width="19.5703125" style="12" customWidth="1"/>
    <col min="39" max="40" width="19.5703125" style="4" customWidth="1"/>
    <col min="41" max="43" width="19.5703125" style="12" customWidth="1"/>
    <col min="44" max="45" width="19.5703125" style="4" customWidth="1"/>
    <col min="46" max="48" width="19.5703125" style="12" customWidth="1"/>
    <col min="49" max="50" width="19.5703125" style="4" customWidth="1"/>
    <col min="51" max="53" width="19.5703125" style="12" customWidth="1"/>
    <col min="54" max="55" width="19.5703125" style="4" customWidth="1"/>
    <col min="56" max="58" width="19.5703125" style="12" customWidth="1"/>
    <col min="59" max="60" width="19.5703125" style="4" customWidth="1"/>
    <col min="61" max="63" width="19.5703125" style="12" customWidth="1"/>
    <col min="64" max="65" width="19.5703125" style="4" customWidth="1"/>
    <col min="66" max="68" width="19.5703125" style="12" customWidth="1"/>
    <col min="69" max="70" width="19.5703125" style="4" customWidth="1"/>
    <col min="71" max="73" width="19.5703125" style="12" customWidth="1"/>
    <col min="74" max="75" width="19.5703125" style="4" customWidth="1"/>
    <col min="76" max="78" width="19.5703125" style="12" customWidth="1"/>
    <col min="79" max="80" width="19.5703125" style="4" customWidth="1"/>
    <col min="81" max="83" width="19.5703125" style="12" customWidth="1"/>
    <col min="84" max="85" width="19.5703125" style="4" customWidth="1"/>
    <col min="86" max="88" width="19.5703125" style="12" customWidth="1"/>
    <col min="89" max="89" width="19.5703125" style="4" customWidth="1"/>
    <col min="90" max="16384" width="9.140625" style="4"/>
  </cols>
  <sheetData>
    <row r="1" spans="1:137" hidden="1" x14ac:dyDescent="0.2">
      <c r="O1" s="4">
        <v>1</v>
      </c>
      <c r="P1" s="12">
        <v>2</v>
      </c>
      <c r="Q1" s="4">
        <v>3</v>
      </c>
      <c r="R1" s="4">
        <v>4</v>
      </c>
      <c r="S1" s="12">
        <v>5</v>
      </c>
      <c r="T1" s="4">
        <v>6</v>
      </c>
      <c r="U1" s="4">
        <v>7</v>
      </c>
      <c r="V1" s="12">
        <v>8</v>
      </c>
      <c r="W1" s="4">
        <v>9</v>
      </c>
      <c r="X1" s="4">
        <v>10</v>
      </c>
      <c r="Y1" s="12">
        <v>11</v>
      </c>
      <c r="Z1" s="4">
        <v>12</v>
      </c>
      <c r="AA1" s="4">
        <v>13</v>
      </c>
      <c r="AB1" s="12">
        <v>14</v>
      </c>
      <c r="AC1" s="4">
        <v>15</v>
      </c>
      <c r="AD1" s="4">
        <v>16</v>
      </c>
      <c r="AE1" s="12">
        <v>17</v>
      </c>
      <c r="AF1" s="4">
        <v>18</v>
      </c>
      <c r="AG1" s="4">
        <v>19</v>
      </c>
      <c r="AH1" s="12">
        <v>20</v>
      </c>
      <c r="AI1" s="4">
        <v>21</v>
      </c>
      <c r="AJ1" s="4">
        <v>22</v>
      </c>
      <c r="AK1" s="12">
        <v>23</v>
      </c>
      <c r="AL1" s="4">
        <v>24</v>
      </c>
      <c r="AM1" s="4">
        <v>25</v>
      </c>
      <c r="AN1" s="12">
        <v>26</v>
      </c>
      <c r="AO1" s="4">
        <v>27</v>
      </c>
      <c r="AP1" s="4">
        <v>28</v>
      </c>
      <c r="AQ1" s="12">
        <v>29</v>
      </c>
      <c r="AR1" s="4">
        <v>30</v>
      </c>
      <c r="AS1" s="4">
        <v>31</v>
      </c>
      <c r="AT1" s="12">
        <v>32</v>
      </c>
      <c r="AU1" s="4">
        <v>33</v>
      </c>
      <c r="AV1" s="4">
        <v>34</v>
      </c>
      <c r="AW1" s="12">
        <v>35</v>
      </c>
      <c r="AX1" s="4">
        <v>36</v>
      </c>
      <c r="AY1" s="4">
        <v>37</v>
      </c>
      <c r="AZ1" s="12">
        <v>38</v>
      </c>
      <c r="BA1" s="4">
        <v>39</v>
      </c>
      <c r="BB1" s="4">
        <v>40</v>
      </c>
      <c r="BC1" s="12">
        <v>41</v>
      </c>
      <c r="BD1" s="4">
        <v>42</v>
      </c>
      <c r="BE1" s="4">
        <v>43</v>
      </c>
      <c r="BF1" s="12">
        <v>44</v>
      </c>
      <c r="BG1" s="4">
        <v>45</v>
      </c>
      <c r="BH1" s="4">
        <v>46</v>
      </c>
      <c r="BI1" s="12">
        <v>47</v>
      </c>
      <c r="BJ1" s="4">
        <v>48</v>
      </c>
      <c r="BK1" s="4">
        <v>49</v>
      </c>
      <c r="BL1" s="12">
        <v>50</v>
      </c>
      <c r="BM1" s="4">
        <v>51</v>
      </c>
      <c r="BN1" s="4">
        <v>52</v>
      </c>
      <c r="BO1" s="12">
        <v>53</v>
      </c>
      <c r="BP1" s="4">
        <v>54</v>
      </c>
      <c r="BQ1" s="4">
        <v>55</v>
      </c>
      <c r="BR1" s="12">
        <v>56</v>
      </c>
      <c r="BS1" s="4">
        <v>57</v>
      </c>
      <c r="BT1" s="4">
        <v>58</v>
      </c>
      <c r="BU1" s="12">
        <v>59</v>
      </c>
      <c r="BV1" s="4">
        <v>60</v>
      </c>
      <c r="BW1" s="4">
        <v>61</v>
      </c>
      <c r="BX1" s="12">
        <v>62</v>
      </c>
      <c r="BY1" s="4">
        <v>63</v>
      </c>
      <c r="BZ1" s="4">
        <v>64</v>
      </c>
      <c r="CA1" s="12">
        <v>65</v>
      </c>
      <c r="CB1" s="4">
        <v>66</v>
      </c>
      <c r="CC1" s="4">
        <v>67</v>
      </c>
      <c r="CD1" s="12">
        <v>68</v>
      </c>
      <c r="CE1" s="4">
        <v>69</v>
      </c>
      <c r="CF1" s="4">
        <v>70</v>
      </c>
      <c r="CG1" s="12">
        <v>71</v>
      </c>
      <c r="CH1" s="4">
        <v>72</v>
      </c>
      <c r="CI1" s="4">
        <v>73</v>
      </c>
      <c r="CJ1" s="12">
        <v>74</v>
      </c>
      <c r="CK1" s="4">
        <v>75</v>
      </c>
      <c r="CL1" s="4">
        <v>76</v>
      </c>
      <c r="CM1" s="12">
        <v>77</v>
      </c>
      <c r="CN1" s="4">
        <v>78</v>
      </c>
      <c r="CO1" s="4">
        <v>79</v>
      </c>
      <c r="CP1" s="12">
        <v>80</v>
      </c>
      <c r="CQ1" s="4">
        <v>81</v>
      </c>
      <c r="CR1" s="4">
        <v>82</v>
      </c>
      <c r="CS1" s="12">
        <v>83</v>
      </c>
      <c r="CT1" s="4">
        <v>84</v>
      </c>
      <c r="CU1" s="4">
        <v>85</v>
      </c>
      <c r="CV1" s="12">
        <v>86</v>
      </c>
      <c r="CW1" s="4">
        <v>87</v>
      </c>
      <c r="CX1" s="4">
        <v>88</v>
      </c>
      <c r="CY1" s="12">
        <v>89</v>
      </c>
      <c r="CZ1" s="4">
        <v>90</v>
      </c>
      <c r="DA1" s="4">
        <v>91</v>
      </c>
      <c r="DB1" s="12">
        <v>92</v>
      </c>
      <c r="DC1" s="4">
        <v>93</v>
      </c>
      <c r="DD1" s="4">
        <v>94</v>
      </c>
      <c r="DE1" s="12">
        <v>95</v>
      </c>
      <c r="DF1" s="12">
        <v>96</v>
      </c>
      <c r="DG1" s="4">
        <v>97</v>
      </c>
      <c r="DH1" s="12">
        <v>98</v>
      </c>
      <c r="DI1" s="4">
        <v>99</v>
      </c>
      <c r="DJ1" s="12">
        <v>100</v>
      </c>
      <c r="DK1" s="4">
        <v>101</v>
      </c>
      <c r="DL1" s="12">
        <v>102</v>
      </c>
      <c r="DM1" s="4">
        <v>103</v>
      </c>
      <c r="DN1" s="12">
        <v>104</v>
      </c>
      <c r="DO1" s="4">
        <v>105</v>
      </c>
      <c r="DP1" s="12">
        <v>106</v>
      </c>
      <c r="DQ1" s="4">
        <v>107</v>
      </c>
      <c r="DR1" s="12">
        <v>108</v>
      </c>
      <c r="DS1" s="4">
        <v>109</v>
      </c>
      <c r="DT1" s="12">
        <v>110</v>
      </c>
      <c r="DU1" s="4">
        <v>111</v>
      </c>
      <c r="DV1" s="12">
        <v>112</v>
      </c>
      <c r="DW1" s="4">
        <v>113</v>
      </c>
      <c r="DX1" s="12">
        <v>114</v>
      </c>
      <c r="DY1" s="4">
        <v>115</v>
      </c>
      <c r="DZ1" s="12">
        <v>116</v>
      </c>
      <c r="EA1" s="4">
        <v>117</v>
      </c>
      <c r="EB1" s="12">
        <v>118</v>
      </c>
      <c r="EC1" s="4">
        <v>119</v>
      </c>
      <c r="ED1" s="12">
        <v>120</v>
      </c>
      <c r="EE1" s="4">
        <v>121</v>
      </c>
      <c r="EF1" s="12">
        <v>122</v>
      </c>
      <c r="EG1" s="4">
        <v>123</v>
      </c>
    </row>
    <row r="2" spans="1:137" ht="13.5" hidden="1" thickBot="1" x14ac:dyDescent="0.25"/>
    <row r="3" spans="1:137" ht="21.75" customHeight="1" x14ac:dyDescent="0.2">
      <c r="O3" s="1159" t="s">
        <v>203</v>
      </c>
      <c r="P3" s="1160"/>
      <c r="Q3" s="1160"/>
      <c r="R3" s="1160"/>
      <c r="S3" s="182"/>
      <c r="T3" s="1159" t="s">
        <v>204</v>
      </c>
      <c r="U3" s="1160"/>
      <c r="V3" s="1160"/>
      <c r="W3" s="1160"/>
      <c r="X3" s="182"/>
      <c r="Y3" s="1159" t="s">
        <v>205</v>
      </c>
      <c r="Z3" s="1160"/>
      <c r="AA3" s="1160"/>
      <c r="AB3" s="1160"/>
      <c r="AC3" s="182"/>
      <c r="AD3" s="1159" t="s">
        <v>206</v>
      </c>
      <c r="AE3" s="1160"/>
      <c r="AF3" s="1160"/>
      <c r="AG3" s="1160"/>
      <c r="AH3" s="182"/>
      <c r="AI3" s="1159" t="s">
        <v>207</v>
      </c>
      <c r="AJ3" s="1160"/>
      <c r="AK3" s="1160"/>
      <c r="AL3" s="1160"/>
      <c r="AM3" s="182"/>
      <c r="AN3" s="1159" t="s">
        <v>208</v>
      </c>
      <c r="AO3" s="1160"/>
      <c r="AP3" s="1160"/>
      <c r="AQ3" s="1160"/>
      <c r="AR3" s="182"/>
      <c r="AS3" s="1159" t="s">
        <v>209</v>
      </c>
      <c r="AT3" s="1160"/>
      <c r="AU3" s="1160"/>
      <c r="AV3" s="1160"/>
      <c r="AW3" s="182"/>
      <c r="AX3" s="1159" t="s">
        <v>210</v>
      </c>
      <c r="AY3" s="1160"/>
      <c r="AZ3" s="1160"/>
      <c r="BA3" s="1160"/>
      <c r="BB3" s="182"/>
      <c r="BC3" s="1159" t="s">
        <v>211</v>
      </c>
      <c r="BD3" s="1160"/>
      <c r="BE3" s="1160"/>
      <c r="BF3" s="1160"/>
      <c r="BG3" s="182"/>
      <c r="BH3" s="1159" t="s">
        <v>212</v>
      </c>
      <c r="BI3" s="1160"/>
      <c r="BJ3" s="1160"/>
      <c r="BK3" s="1160"/>
      <c r="BL3" s="182"/>
      <c r="BM3" s="1159" t="s">
        <v>213</v>
      </c>
      <c r="BN3" s="1160"/>
      <c r="BO3" s="1160"/>
      <c r="BP3" s="1160"/>
      <c r="BQ3" s="182"/>
      <c r="BR3" s="1159" t="s">
        <v>214</v>
      </c>
      <c r="BS3" s="1160"/>
      <c r="BT3" s="1160"/>
      <c r="BU3" s="1160"/>
      <c r="BV3" s="182"/>
      <c r="BW3" s="1159" t="s">
        <v>215</v>
      </c>
      <c r="BX3" s="1160"/>
      <c r="BY3" s="1160"/>
      <c r="BZ3" s="1160"/>
      <c r="CA3" s="182"/>
      <c r="CB3" s="1159" t="s">
        <v>216</v>
      </c>
      <c r="CC3" s="1160"/>
      <c r="CD3" s="1160"/>
      <c r="CE3" s="1160"/>
      <c r="CF3" s="182"/>
      <c r="CG3" s="1159"/>
      <c r="CH3" s="1160"/>
      <c r="CI3" s="1160"/>
      <c r="CJ3" s="1161"/>
    </row>
    <row r="4" spans="1:137" ht="21" customHeight="1" x14ac:dyDescent="0.2">
      <c r="O4" s="221" t="s">
        <v>391</v>
      </c>
      <c r="P4" s="202"/>
      <c r="Q4" s="202"/>
      <c r="R4" s="202"/>
      <c r="S4" s="183"/>
      <c r="T4" s="221" t="s">
        <v>248</v>
      </c>
      <c r="U4" s="212"/>
      <c r="V4" s="212"/>
      <c r="W4" s="212"/>
      <c r="X4" s="183"/>
      <c r="Y4" s="221"/>
      <c r="Z4" s="224"/>
      <c r="AA4" s="224"/>
      <c r="AB4" s="224"/>
      <c r="AC4" s="183"/>
      <c r="AD4" s="221"/>
      <c r="AE4" s="224"/>
      <c r="AF4" s="224"/>
      <c r="AG4" s="224"/>
      <c r="AH4" s="183"/>
      <c r="AI4" s="221"/>
      <c r="AJ4" s="224"/>
      <c r="AK4" s="224"/>
      <c r="AL4" s="224"/>
      <c r="AM4" s="183"/>
      <c r="AN4" s="221"/>
      <c r="AO4" s="21"/>
      <c r="AP4" s="21"/>
      <c r="AQ4" s="21"/>
      <c r="AR4" s="183"/>
      <c r="AS4" s="221"/>
      <c r="AT4" s="21"/>
      <c r="AU4" s="21"/>
      <c r="AV4" s="21"/>
      <c r="AW4" s="183"/>
      <c r="AX4" s="166"/>
      <c r="AY4" s="21"/>
      <c r="AZ4" s="21"/>
      <c r="BA4" s="21"/>
      <c r="BB4" s="183"/>
      <c r="BC4" s="166"/>
      <c r="BD4" s="21"/>
      <c r="BE4" s="21"/>
      <c r="BF4" s="21"/>
      <c r="BG4" s="183"/>
      <c r="BH4" s="166"/>
      <c r="BI4" s="21"/>
      <c r="BJ4" s="21"/>
      <c r="BK4" s="21"/>
      <c r="BL4" s="183"/>
      <c r="BM4" s="166"/>
      <c r="BN4" s="21"/>
      <c r="BO4" s="21"/>
      <c r="BP4" s="21"/>
      <c r="BQ4" s="183"/>
      <c r="BR4" s="166"/>
      <c r="BS4" s="21"/>
      <c r="BT4" s="21"/>
      <c r="BU4" s="21"/>
      <c r="BV4" s="183"/>
      <c r="BW4" s="166"/>
      <c r="BX4" s="21"/>
      <c r="BY4" s="21"/>
      <c r="BZ4" s="21"/>
      <c r="CA4" s="183"/>
      <c r="CB4" s="166"/>
      <c r="CC4" s="21"/>
      <c r="CD4" s="21"/>
      <c r="CE4" s="21"/>
      <c r="CF4" s="183"/>
      <c r="CG4" s="14"/>
      <c r="CH4" s="21"/>
      <c r="CI4" s="21"/>
      <c r="CJ4" s="32"/>
    </row>
    <row r="5" spans="1:137" ht="21" customHeight="1" x14ac:dyDescent="0.2">
      <c r="O5" s="14"/>
      <c r="P5" s="21"/>
      <c r="Q5" s="21"/>
      <c r="R5" s="21"/>
      <c r="S5" s="183"/>
      <c r="T5" s="14"/>
      <c r="U5" s="21"/>
      <c r="V5" s="21"/>
      <c r="W5" s="21"/>
      <c r="X5" s="183"/>
      <c r="Y5" s="14"/>
      <c r="Z5" s="21"/>
      <c r="AA5" s="21"/>
      <c r="AB5" s="21"/>
      <c r="AC5" s="183"/>
      <c r="AD5" s="14"/>
      <c r="AE5" s="21"/>
      <c r="AF5" s="21"/>
      <c r="AG5" s="21"/>
      <c r="AH5" s="183"/>
      <c r="AI5" s="14"/>
      <c r="AJ5" s="21"/>
      <c r="AK5" s="21"/>
      <c r="AL5" s="21"/>
      <c r="AM5" s="183"/>
      <c r="AN5" s="14"/>
      <c r="AO5" s="21"/>
      <c r="AP5" s="21"/>
      <c r="AQ5" s="21"/>
      <c r="AR5" s="183"/>
      <c r="AS5" s="14"/>
      <c r="AT5" s="21"/>
      <c r="AU5" s="21"/>
      <c r="AV5" s="21"/>
      <c r="AW5" s="183"/>
      <c r="AX5" s="14"/>
      <c r="AY5" s="21"/>
      <c r="AZ5" s="21"/>
      <c r="BA5" s="21"/>
      <c r="BB5" s="183"/>
      <c r="BC5" s="14"/>
      <c r="BD5" s="21"/>
      <c r="BE5" s="21"/>
      <c r="BF5" s="21"/>
      <c r="BG5" s="183"/>
      <c r="BH5" s="14"/>
      <c r="BI5" s="21"/>
      <c r="BJ5" s="21"/>
      <c r="BK5" s="21"/>
      <c r="BL5" s="183"/>
      <c r="BM5" s="14"/>
      <c r="BN5" s="21"/>
      <c r="BO5" s="21"/>
      <c r="BP5" s="21"/>
      <c r="BQ5" s="183"/>
      <c r="BR5" s="14"/>
      <c r="BS5" s="21"/>
      <c r="BT5" s="21"/>
      <c r="BU5" s="21"/>
      <c r="BV5" s="183"/>
      <c r="BW5" s="14"/>
      <c r="BX5" s="21"/>
      <c r="BY5" s="21"/>
      <c r="BZ5" s="21"/>
      <c r="CA5" s="183"/>
      <c r="CB5" s="14"/>
      <c r="CC5" s="21"/>
      <c r="CD5" s="21"/>
      <c r="CE5" s="21"/>
      <c r="CF5" s="183"/>
      <c r="CG5" s="31"/>
      <c r="CH5" s="10"/>
      <c r="CI5" s="10"/>
      <c r="CJ5" s="44"/>
    </row>
    <row r="6" spans="1:137" ht="21" customHeight="1" x14ac:dyDescent="0.2">
      <c r="C6" s="18">
        <v>1</v>
      </c>
      <c r="D6" s="4">
        <v>2</v>
      </c>
      <c r="E6" s="18">
        <v>3</v>
      </c>
      <c r="F6" s="4">
        <v>4</v>
      </c>
      <c r="G6" s="18">
        <v>5</v>
      </c>
      <c r="H6" s="4">
        <v>6</v>
      </c>
      <c r="I6" s="18">
        <v>7</v>
      </c>
      <c r="J6" s="4">
        <v>8</v>
      </c>
      <c r="K6" s="18">
        <v>9</v>
      </c>
      <c r="L6" s="4">
        <v>10</v>
      </c>
      <c r="M6" s="18">
        <v>11</v>
      </c>
      <c r="N6" s="4">
        <v>12</v>
      </c>
      <c r="O6" s="1162" t="s">
        <v>132</v>
      </c>
      <c r="P6" s="1163"/>
      <c r="Q6" s="1163"/>
      <c r="R6" s="1163"/>
      <c r="S6" s="183"/>
      <c r="T6" s="1162" t="s">
        <v>132</v>
      </c>
      <c r="U6" s="1163"/>
      <c r="V6" s="1163"/>
      <c r="W6" s="1163"/>
      <c r="X6" s="183"/>
      <c r="Y6" s="1162" t="s">
        <v>132</v>
      </c>
      <c r="Z6" s="1163"/>
      <c r="AA6" s="1163"/>
      <c r="AB6" s="1163"/>
      <c r="AC6" s="183"/>
      <c r="AD6" s="1162" t="s">
        <v>132</v>
      </c>
      <c r="AE6" s="1163"/>
      <c r="AF6" s="1163"/>
      <c r="AG6" s="1163"/>
      <c r="AH6" s="183"/>
      <c r="AI6" s="1162" t="s">
        <v>132</v>
      </c>
      <c r="AJ6" s="1163"/>
      <c r="AK6" s="1163"/>
      <c r="AL6" s="1163"/>
      <c r="AM6" s="183"/>
      <c r="AN6" s="1162" t="s">
        <v>132</v>
      </c>
      <c r="AO6" s="1163"/>
      <c r="AP6" s="1163"/>
      <c r="AQ6" s="1163"/>
      <c r="AR6" s="183"/>
      <c r="AS6" s="1162" t="s">
        <v>132</v>
      </c>
      <c r="AT6" s="1163"/>
      <c r="AU6" s="1163"/>
      <c r="AV6" s="1163"/>
      <c r="AW6" s="183"/>
      <c r="AX6" s="1162" t="s">
        <v>132</v>
      </c>
      <c r="AY6" s="1163"/>
      <c r="AZ6" s="1163"/>
      <c r="BA6" s="1163"/>
      <c r="BB6" s="183"/>
      <c r="BC6" s="1162" t="s">
        <v>132</v>
      </c>
      <c r="BD6" s="1163"/>
      <c r="BE6" s="1163"/>
      <c r="BF6" s="1163"/>
      <c r="BG6" s="183"/>
      <c r="BH6" s="1162" t="s">
        <v>132</v>
      </c>
      <c r="BI6" s="1163"/>
      <c r="BJ6" s="1163"/>
      <c r="BK6" s="1163"/>
      <c r="BL6" s="183"/>
      <c r="BM6" s="1162" t="s">
        <v>132</v>
      </c>
      <c r="BN6" s="1163"/>
      <c r="BO6" s="1163"/>
      <c r="BP6" s="1163"/>
      <c r="BQ6" s="183"/>
      <c r="BR6" s="1162" t="s">
        <v>132</v>
      </c>
      <c r="BS6" s="1163"/>
      <c r="BT6" s="1163"/>
      <c r="BU6" s="1163"/>
      <c r="BV6" s="183"/>
      <c r="BW6" s="1162" t="s">
        <v>132</v>
      </c>
      <c r="BX6" s="1163"/>
      <c r="BY6" s="1163"/>
      <c r="BZ6" s="1163"/>
      <c r="CA6" s="183"/>
      <c r="CB6" s="1162" t="s">
        <v>132</v>
      </c>
      <c r="CC6" s="1163"/>
      <c r="CD6" s="1163"/>
      <c r="CE6" s="1163"/>
      <c r="CF6" s="183"/>
      <c r="CG6" s="1169"/>
      <c r="CH6" s="1170"/>
      <c r="CI6" s="1170"/>
      <c r="CJ6" s="1171"/>
    </row>
    <row r="7" spans="1:137" ht="21" customHeight="1" x14ac:dyDescent="0.2">
      <c r="A7" s="4">
        <v>1</v>
      </c>
      <c r="B7" s="18">
        <v>2</v>
      </c>
      <c r="C7" s="4">
        <v>3</v>
      </c>
      <c r="D7" s="18">
        <v>4</v>
      </c>
      <c r="E7" s="4">
        <v>5</v>
      </c>
      <c r="F7" s="18">
        <v>6</v>
      </c>
      <c r="G7" s="4">
        <v>7</v>
      </c>
      <c r="H7" s="18">
        <v>8</v>
      </c>
      <c r="I7" s="4">
        <v>9</v>
      </c>
      <c r="J7" s="18">
        <v>10</v>
      </c>
      <c r="K7" s="4">
        <v>11</v>
      </c>
      <c r="L7" s="4">
        <v>12</v>
      </c>
      <c r="O7" s="1167">
        <v>240000</v>
      </c>
      <c r="P7" s="1168"/>
      <c r="Q7" s="1168"/>
      <c r="R7" s="1168"/>
      <c r="S7" s="184"/>
      <c r="T7" s="1167">
        <v>250000</v>
      </c>
      <c r="U7" s="1168"/>
      <c r="V7" s="1168"/>
      <c r="W7" s="1168"/>
      <c r="X7" s="184"/>
      <c r="Y7" s="1167">
        <v>190000</v>
      </c>
      <c r="Z7" s="1168"/>
      <c r="AA7" s="1168"/>
      <c r="AB7" s="1168"/>
      <c r="AC7" s="184"/>
      <c r="AD7" s="1167">
        <v>190000</v>
      </c>
      <c r="AE7" s="1168"/>
      <c r="AF7" s="1168"/>
      <c r="AG7" s="1168"/>
      <c r="AH7" s="184"/>
      <c r="AI7" s="1167">
        <v>170000</v>
      </c>
      <c r="AJ7" s="1168"/>
      <c r="AK7" s="1168"/>
      <c r="AL7" s="1168"/>
      <c r="AM7" s="184"/>
      <c r="AN7" s="1167">
        <v>170000</v>
      </c>
      <c r="AO7" s="1168"/>
      <c r="AP7" s="1168"/>
      <c r="AQ7" s="1168"/>
      <c r="AR7" s="184"/>
      <c r="AS7" s="1167">
        <v>170000</v>
      </c>
      <c r="AT7" s="1168"/>
      <c r="AU7" s="1168"/>
      <c r="AV7" s="1168"/>
      <c r="AW7" s="184"/>
      <c r="AX7" s="1167">
        <v>130000</v>
      </c>
      <c r="AY7" s="1168"/>
      <c r="AZ7" s="1168"/>
      <c r="BA7" s="1168"/>
      <c r="BB7" s="184"/>
      <c r="BC7" s="1167">
        <v>130000</v>
      </c>
      <c r="BD7" s="1168"/>
      <c r="BE7" s="1168"/>
      <c r="BF7" s="1168"/>
      <c r="BG7" s="184"/>
      <c r="BH7" s="1167">
        <v>130000</v>
      </c>
      <c r="BI7" s="1168"/>
      <c r="BJ7" s="1168"/>
      <c r="BK7" s="1168"/>
      <c r="BL7" s="184"/>
      <c r="BM7" s="1167">
        <v>130000</v>
      </c>
      <c r="BN7" s="1168"/>
      <c r="BO7" s="1168"/>
      <c r="BP7" s="1168"/>
      <c r="BQ7" s="184"/>
      <c r="BR7" s="1167">
        <v>130000</v>
      </c>
      <c r="BS7" s="1168"/>
      <c r="BT7" s="1168"/>
      <c r="BU7" s="1168"/>
      <c r="BV7" s="184"/>
      <c r="BW7" s="1167">
        <v>130000</v>
      </c>
      <c r="BX7" s="1168"/>
      <c r="BY7" s="1168"/>
      <c r="BZ7" s="1168"/>
      <c r="CA7" s="184"/>
      <c r="CB7" s="1167">
        <v>130000</v>
      </c>
      <c r="CC7" s="1168"/>
      <c r="CD7" s="1168"/>
      <c r="CE7" s="1168"/>
      <c r="CF7" s="184"/>
      <c r="CG7" s="1164"/>
      <c r="CH7" s="1165"/>
      <c r="CI7" s="1165"/>
      <c r="CJ7" s="1166"/>
    </row>
    <row r="8" spans="1:137" ht="11.25" customHeight="1" x14ac:dyDescent="0.2">
      <c r="A8" s="1172" t="s">
        <v>127</v>
      </c>
      <c r="B8" s="1172"/>
      <c r="C8" s="1172"/>
      <c r="D8" s="72" t="s">
        <v>10</v>
      </c>
      <c r="E8" s="72"/>
      <c r="F8" s="72" t="s">
        <v>121</v>
      </c>
      <c r="G8" s="72"/>
      <c r="H8" s="72"/>
      <c r="I8" s="73"/>
      <c r="J8" s="1173" t="str">
        <f>P9</f>
        <v>Prazo Para Chaves</v>
      </c>
      <c r="K8" s="1173" t="s">
        <v>146</v>
      </c>
      <c r="L8" s="73" t="s">
        <v>13</v>
      </c>
      <c r="M8" s="73" t="s">
        <v>151</v>
      </c>
      <c r="N8" s="175" t="s">
        <v>13</v>
      </c>
      <c r="O8" s="31"/>
      <c r="P8" s="33"/>
      <c r="Q8" s="33"/>
      <c r="R8" s="33"/>
      <c r="S8" s="44"/>
      <c r="T8" s="31"/>
      <c r="U8" s="33"/>
      <c r="V8" s="33"/>
      <c r="W8" s="33"/>
      <c r="X8" s="44"/>
      <c r="Y8" s="31"/>
      <c r="Z8" s="33"/>
      <c r="AA8" s="33"/>
      <c r="AB8" s="33"/>
      <c r="AC8" s="44"/>
      <c r="AD8" s="31"/>
      <c r="AE8" s="33"/>
      <c r="AF8" s="33"/>
      <c r="AG8" s="33"/>
      <c r="AH8" s="44"/>
      <c r="AI8" s="31"/>
      <c r="AJ8" s="33"/>
      <c r="AK8" s="33"/>
      <c r="AL8" s="33"/>
      <c r="AM8" s="44"/>
      <c r="AN8" s="31"/>
      <c r="AO8" s="33"/>
      <c r="AP8" s="33"/>
      <c r="AQ8" s="33"/>
      <c r="AR8" s="44"/>
      <c r="AS8" s="31"/>
      <c r="AT8" s="33"/>
      <c r="AU8" s="33"/>
      <c r="AV8" s="33"/>
      <c r="AW8" s="44"/>
      <c r="AX8" s="31"/>
      <c r="AY8" s="33"/>
      <c r="AZ8" s="33"/>
      <c r="BA8" s="33"/>
      <c r="BB8" s="44"/>
      <c r="BC8" s="31"/>
      <c r="BD8" s="33"/>
      <c r="BE8" s="33"/>
      <c r="BF8" s="33"/>
      <c r="BG8" s="44"/>
      <c r="BH8" s="31"/>
      <c r="BI8" s="33"/>
      <c r="BJ8" s="33"/>
      <c r="BK8" s="33"/>
      <c r="BL8" s="44"/>
      <c r="BM8" s="31"/>
      <c r="BN8" s="33"/>
      <c r="BO8" s="33"/>
      <c r="BP8" s="33"/>
      <c r="BQ8" s="44"/>
      <c r="BR8" s="31"/>
      <c r="BS8" s="33"/>
      <c r="BT8" s="33"/>
      <c r="BU8" s="33"/>
      <c r="BV8" s="44"/>
      <c r="BW8" s="31"/>
      <c r="BX8" s="33"/>
      <c r="BY8" s="33"/>
      <c r="BZ8" s="33"/>
      <c r="CA8" s="44"/>
      <c r="CB8" s="31"/>
      <c r="CC8" s="33"/>
      <c r="CD8" s="33"/>
      <c r="CE8" s="33"/>
      <c r="CF8" s="44"/>
      <c r="CG8" s="31"/>
      <c r="CH8" s="33"/>
      <c r="CI8" s="33"/>
      <c r="CJ8" s="34"/>
    </row>
    <row r="9" spans="1:137" ht="25.5" x14ac:dyDescent="0.2">
      <c r="A9" s="1172"/>
      <c r="B9" s="1172"/>
      <c r="C9" s="1172"/>
      <c r="D9" s="72" t="s">
        <v>142</v>
      </c>
      <c r="E9" s="72" t="s">
        <v>143</v>
      </c>
      <c r="F9" s="72" t="s">
        <v>118</v>
      </c>
      <c r="G9" s="72" t="s">
        <v>119</v>
      </c>
      <c r="H9" s="72" t="s">
        <v>120</v>
      </c>
      <c r="I9" s="73" t="s">
        <v>134</v>
      </c>
      <c r="J9" s="1173"/>
      <c r="K9" s="1173"/>
      <c r="L9" s="73"/>
      <c r="M9" s="73"/>
      <c r="N9" s="175"/>
      <c r="O9" s="31"/>
      <c r="P9" s="190" t="s">
        <v>202</v>
      </c>
      <c r="Q9" s="15" t="s">
        <v>145</v>
      </c>
      <c r="R9" s="173"/>
      <c r="S9" s="44"/>
      <c r="T9" s="31"/>
      <c r="U9" s="190" t="s">
        <v>202</v>
      </c>
      <c r="V9" s="15" t="s">
        <v>145</v>
      </c>
      <c r="W9" s="173"/>
      <c r="X9" s="44"/>
      <c r="Y9" s="31"/>
      <c r="Z9" s="190" t="s">
        <v>202</v>
      </c>
      <c r="AA9" s="15" t="s">
        <v>145</v>
      </c>
      <c r="AB9" s="173"/>
      <c r="AC9" s="44"/>
      <c r="AD9" s="31"/>
      <c r="AE9" s="190" t="s">
        <v>202</v>
      </c>
      <c r="AF9" s="15" t="s">
        <v>145</v>
      </c>
      <c r="AG9" s="173"/>
      <c r="AH9" s="44"/>
      <c r="AI9" s="31"/>
      <c r="AJ9" s="190" t="s">
        <v>202</v>
      </c>
      <c r="AK9" s="15" t="s">
        <v>145</v>
      </c>
      <c r="AL9" s="173"/>
      <c r="AM9" s="44"/>
      <c r="AN9" s="31"/>
      <c r="AO9" s="190" t="s">
        <v>202</v>
      </c>
      <c r="AP9" s="15" t="s">
        <v>145</v>
      </c>
      <c r="AQ9" s="173"/>
      <c r="AR9" s="44"/>
      <c r="AS9" s="31"/>
      <c r="AT9" s="190" t="s">
        <v>202</v>
      </c>
      <c r="AU9" s="15" t="s">
        <v>145</v>
      </c>
      <c r="AV9" s="173"/>
      <c r="AW9" s="44"/>
      <c r="AX9" s="31"/>
      <c r="AY9" s="190" t="s">
        <v>202</v>
      </c>
      <c r="AZ9" s="15" t="s">
        <v>145</v>
      </c>
      <c r="BA9" s="173"/>
      <c r="BB9" s="44"/>
      <c r="BC9" s="31"/>
      <c r="BD9" s="190" t="s">
        <v>202</v>
      </c>
      <c r="BE9" s="15" t="s">
        <v>145</v>
      </c>
      <c r="BF9" s="173"/>
      <c r="BG9" s="44"/>
      <c r="BH9" s="31"/>
      <c r="BI9" s="190" t="s">
        <v>202</v>
      </c>
      <c r="BJ9" s="15" t="s">
        <v>145</v>
      </c>
      <c r="BK9" s="173"/>
      <c r="BL9" s="44"/>
      <c r="BM9" s="31"/>
      <c r="BN9" s="190" t="s">
        <v>202</v>
      </c>
      <c r="BO9" s="15" t="s">
        <v>145</v>
      </c>
      <c r="BP9" s="173"/>
      <c r="BQ9" s="44"/>
      <c r="BR9" s="31"/>
      <c r="BS9" s="190" t="s">
        <v>202</v>
      </c>
      <c r="BT9" s="15" t="s">
        <v>145</v>
      </c>
      <c r="BU9" s="173"/>
      <c r="BV9" s="44"/>
      <c r="BW9" s="31"/>
      <c r="BX9" s="190" t="s">
        <v>202</v>
      </c>
      <c r="BY9" s="15" t="s">
        <v>145</v>
      </c>
      <c r="BZ9" s="173"/>
      <c r="CA9" s="44"/>
      <c r="CB9" s="31"/>
      <c r="CC9" s="190" t="s">
        <v>144</v>
      </c>
      <c r="CD9" s="15" t="s">
        <v>145</v>
      </c>
      <c r="CE9" s="173"/>
      <c r="CF9" s="44"/>
      <c r="CG9" s="31"/>
      <c r="CH9" s="16"/>
      <c r="CI9" s="17"/>
      <c r="CJ9" s="50"/>
    </row>
    <row r="10" spans="1:137" x14ac:dyDescent="0.2">
      <c r="A10" s="75">
        <v>1</v>
      </c>
      <c r="B10" s="395" t="s">
        <v>740</v>
      </c>
      <c r="C10" s="75">
        <v>1</v>
      </c>
      <c r="D10" s="74">
        <v>3</v>
      </c>
      <c r="E10" s="74">
        <f>D10+1</f>
        <v>4</v>
      </c>
      <c r="F10" s="74">
        <v>2</v>
      </c>
      <c r="G10" s="74">
        <v>3</v>
      </c>
      <c r="H10" s="74">
        <f>4</f>
        <v>4</v>
      </c>
      <c r="I10" s="77">
        <f>O7</f>
        <v>240000</v>
      </c>
      <c r="J10" s="77">
        <f>P10</f>
        <v>0</v>
      </c>
      <c r="K10" s="78">
        <v>44682</v>
      </c>
      <c r="L10" s="77"/>
      <c r="M10" s="77">
        <f>O14</f>
        <v>0</v>
      </c>
      <c r="N10" s="175">
        <v>5</v>
      </c>
      <c r="O10" s="31"/>
      <c r="P10" s="218"/>
      <c r="Q10" s="219">
        <v>44134</v>
      </c>
      <c r="R10" s="173"/>
      <c r="S10" s="176"/>
      <c r="T10" s="31"/>
      <c r="U10" s="218">
        <f>P10</f>
        <v>0</v>
      </c>
      <c r="V10" s="219">
        <f>Q10</f>
        <v>44134</v>
      </c>
      <c r="W10" s="173"/>
      <c r="X10" s="176"/>
      <c r="Y10" s="31"/>
      <c r="Z10" s="218"/>
      <c r="AA10" s="219"/>
      <c r="AB10" s="173"/>
      <c r="AC10" s="176"/>
      <c r="AD10" s="31"/>
      <c r="AE10" s="218"/>
      <c r="AF10" s="219"/>
      <c r="AG10" s="173"/>
      <c r="AH10" s="176"/>
      <c r="AI10" s="31"/>
      <c r="AJ10" s="218">
        <f>AE10</f>
        <v>0</v>
      </c>
      <c r="AK10" s="219"/>
      <c r="AL10" s="173"/>
      <c r="AM10" s="176"/>
      <c r="AN10" s="31"/>
      <c r="AO10" s="167"/>
      <c r="AP10" s="168"/>
      <c r="AQ10" s="173"/>
      <c r="AR10" s="176"/>
      <c r="AS10" s="31"/>
      <c r="AT10" s="167"/>
      <c r="AU10" s="168"/>
      <c r="AV10" s="173"/>
      <c r="AW10" s="176"/>
      <c r="AX10" s="31"/>
      <c r="AY10" s="167"/>
      <c r="AZ10" s="168"/>
      <c r="BA10" s="173"/>
      <c r="BB10" s="176"/>
      <c r="BC10" s="31"/>
      <c r="BD10" s="167"/>
      <c r="BE10" s="168"/>
      <c r="BF10" s="173"/>
      <c r="BG10" s="176"/>
      <c r="BH10" s="31"/>
      <c r="BI10" s="167"/>
      <c r="BJ10" s="168"/>
      <c r="BK10" s="173"/>
      <c r="BL10" s="176"/>
      <c r="BM10" s="31"/>
      <c r="BN10" s="167"/>
      <c r="BO10" s="168"/>
      <c r="BP10" s="173"/>
      <c r="BQ10" s="176"/>
      <c r="BR10" s="31"/>
      <c r="BS10" s="167"/>
      <c r="BT10" s="168"/>
      <c r="BU10" s="173"/>
      <c r="BV10" s="176"/>
      <c r="BW10" s="31"/>
      <c r="BX10" s="167"/>
      <c r="BY10" s="168"/>
      <c r="BZ10" s="173"/>
      <c r="CA10" s="176"/>
      <c r="CB10" s="31"/>
      <c r="CC10" s="167"/>
      <c r="CD10" s="168"/>
      <c r="CE10" s="173"/>
      <c r="CF10" s="176"/>
      <c r="CG10" s="31"/>
      <c r="CH10" s="16"/>
      <c r="CI10" s="17"/>
      <c r="CJ10" s="11"/>
    </row>
    <row r="11" spans="1:137" ht="13.5" thickBot="1" x14ac:dyDescent="0.25">
      <c r="A11" s="75">
        <v>2</v>
      </c>
      <c r="B11" s="76" t="str">
        <f>T4</f>
        <v>DEZ VISTA ALEGRE - BLOCOS 1 e 2</v>
      </c>
      <c r="C11" s="75">
        <v>2</v>
      </c>
      <c r="D11" s="74">
        <f>D10+5</f>
        <v>8</v>
      </c>
      <c r="E11" s="74">
        <f t="shared" ref="E11:E23" si="0">D11+1</f>
        <v>9</v>
      </c>
      <c r="F11" s="74">
        <f>F10+5</f>
        <v>7</v>
      </c>
      <c r="G11" s="74">
        <f>G10+5</f>
        <v>8</v>
      </c>
      <c r="H11" s="74">
        <f>H10+5</f>
        <v>9</v>
      </c>
      <c r="I11" s="77">
        <f>T7</f>
        <v>250000</v>
      </c>
      <c r="J11" s="77">
        <f>U10</f>
        <v>0</v>
      </c>
      <c r="K11" s="78">
        <v>44165</v>
      </c>
      <c r="L11" s="77"/>
      <c r="M11" s="77">
        <f>W10</f>
        <v>0</v>
      </c>
      <c r="N11" s="175">
        <f>N10+5</f>
        <v>10</v>
      </c>
      <c r="O11" s="31"/>
      <c r="P11" s="33"/>
      <c r="Q11" s="172"/>
      <c r="R11" s="174"/>
      <c r="S11" s="176"/>
      <c r="T11" s="31"/>
      <c r="U11" s="33"/>
      <c r="V11" s="172"/>
      <c r="W11" s="174"/>
      <c r="X11" s="176"/>
      <c r="Y11" s="31"/>
      <c r="Z11" s="33"/>
      <c r="AA11" s="172"/>
      <c r="AB11" s="174"/>
      <c r="AC11" s="176"/>
      <c r="AD11" s="31"/>
      <c r="AE11" s="33"/>
      <c r="AF11" s="172"/>
      <c r="AG11" s="174"/>
      <c r="AH11" s="176"/>
      <c r="AI11" s="31"/>
      <c r="AJ11" s="33"/>
      <c r="AK11" s="172"/>
      <c r="AL11" s="174"/>
      <c r="AM11" s="176"/>
      <c r="AN11" s="31"/>
      <c r="AO11" s="33"/>
      <c r="AP11" s="172"/>
      <c r="AQ11" s="174"/>
      <c r="AR11" s="176"/>
      <c r="AS11" s="31"/>
      <c r="AT11" s="33"/>
      <c r="AU11" s="172"/>
      <c r="AV11" s="174"/>
      <c r="AW11" s="176"/>
      <c r="AX11" s="31"/>
      <c r="AY11" s="33"/>
      <c r="AZ11" s="172"/>
      <c r="BA11" s="174"/>
      <c r="BB11" s="176"/>
      <c r="BC11" s="31"/>
      <c r="BD11" s="33"/>
      <c r="BE11" s="172"/>
      <c r="BF11" s="174"/>
      <c r="BG11" s="176"/>
      <c r="BH11" s="31"/>
      <c r="BI11" s="33"/>
      <c r="BJ11" s="172"/>
      <c r="BK11" s="174"/>
      <c r="BL11" s="176"/>
      <c r="BM11" s="31"/>
      <c r="BN11" s="33"/>
      <c r="BO11" s="172"/>
      <c r="BP11" s="174"/>
      <c r="BQ11" s="176"/>
      <c r="BR11" s="31"/>
      <c r="BS11" s="33"/>
      <c r="BT11" s="172"/>
      <c r="BU11" s="174"/>
      <c r="BV11" s="176"/>
      <c r="BW11" s="31"/>
      <c r="BX11" s="33"/>
      <c r="BY11" s="172"/>
      <c r="BZ11" s="174"/>
      <c r="CA11" s="176"/>
      <c r="CB11" s="31"/>
      <c r="CC11" s="33"/>
      <c r="CD11" s="172"/>
      <c r="CE11" s="174"/>
      <c r="CF11" s="176"/>
      <c r="CG11" s="31"/>
      <c r="CH11" s="16"/>
      <c r="CI11" s="19"/>
      <c r="CJ11" s="50"/>
    </row>
    <row r="12" spans="1:137" ht="13.5" thickBot="1" x14ac:dyDescent="0.25">
      <c r="A12" s="75">
        <v>3</v>
      </c>
      <c r="B12" s="76">
        <f>Y4</f>
        <v>0</v>
      </c>
      <c r="C12" s="75">
        <v>3</v>
      </c>
      <c r="D12" s="74">
        <f t="shared" ref="D12:D23" si="1">D11+5</f>
        <v>13</v>
      </c>
      <c r="E12" s="74">
        <f t="shared" si="0"/>
        <v>14</v>
      </c>
      <c r="F12" s="74">
        <f t="shared" ref="F12:F23" si="2">F11+5</f>
        <v>12</v>
      </c>
      <c r="G12" s="74">
        <f t="shared" ref="G12:G23" si="3">G11+5</f>
        <v>13</v>
      </c>
      <c r="H12" s="74">
        <f t="shared" ref="H12:H23" si="4">H11+5</f>
        <v>14</v>
      </c>
      <c r="I12" s="77">
        <f>Y7</f>
        <v>190000</v>
      </c>
      <c r="J12" s="77">
        <f>Z10</f>
        <v>0</v>
      </c>
      <c r="K12" s="78">
        <f>AA10</f>
        <v>0</v>
      </c>
      <c r="L12" s="77"/>
      <c r="M12" s="77">
        <f>AB10</f>
        <v>0</v>
      </c>
      <c r="N12" s="175">
        <f>N11+5</f>
        <v>15</v>
      </c>
      <c r="O12" s="31"/>
      <c r="P12" s="329" t="s">
        <v>240</v>
      </c>
      <c r="Q12" s="172"/>
      <c r="R12" s="172"/>
      <c r="S12" s="176"/>
      <c r="T12" s="31"/>
      <c r="U12" s="329" t="s">
        <v>240</v>
      </c>
      <c r="V12" s="172"/>
      <c r="W12" s="172"/>
      <c r="X12" s="176"/>
      <c r="Y12" s="31"/>
      <c r="Z12" s="329" t="s">
        <v>240</v>
      </c>
      <c r="AA12" s="172"/>
      <c r="AB12" s="172"/>
      <c r="AC12" s="176"/>
      <c r="AD12" s="31"/>
      <c r="AE12" s="33"/>
      <c r="AF12" s="172"/>
      <c r="AG12" s="172"/>
      <c r="AH12" s="176"/>
      <c r="AI12" s="31"/>
      <c r="AJ12" s="33"/>
      <c r="AK12" s="172"/>
      <c r="AL12" s="172"/>
      <c r="AM12" s="176"/>
      <c r="AN12" s="31"/>
      <c r="AO12" s="33"/>
      <c r="AP12" s="172"/>
      <c r="AQ12" s="172"/>
      <c r="AR12" s="176"/>
      <c r="AS12" s="31"/>
      <c r="AT12" s="33"/>
      <c r="AU12" s="172"/>
      <c r="AV12" s="172"/>
      <c r="AW12" s="176"/>
      <c r="AX12" s="31"/>
      <c r="AY12" s="33"/>
      <c r="AZ12" s="172"/>
      <c r="BA12" s="172"/>
      <c r="BB12" s="176"/>
      <c r="BC12" s="31"/>
      <c r="BD12" s="33"/>
      <c r="BE12" s="172"/>
      <c r="BF12" s="172"/>
      <c r="BG12" s="176"/>
      <c r="BH12" s="31"/>
      <c r="BI12" s="33"/>
      <c r="BJ12" s="172"/>
      <c r="BK12" s="172"/>
      <c r="BL12" s="176"/>
      <c r="BM12" s="31"/>
      <c r="BN12" s="33"/>
      <c r="BO12" s="172"/>
      <c r="BP12" s="172"/>
      <c r="BQ12" s="176"/>
      <c r="BR12" s="31"/>
      <c r="BS12" s="33"/>
      <c r="BT12" s="172"/>
      <c r="BU12" s="172"/>
      <c r="BV12" s="176"/>
      <c r="BW12" s="31"/>
      <c r="BX12" s="33"/>
      <c r="BY12" s="172"/>
      <c r="BZ12" s="172"/>
      <c r="CA12" s="176"/>
      <c r="CB12" s="31"/>
      <c r="CC12" s="33"/>
      <c r="CD12" s="172"/>
      <c r="CE12" s="172"/>
      <c r="CF12" s="176"/>
      <c r="CG12" s="31"/>
      <c r="CH12" s="16"/>
      <c r="CI12" s="16"/>
      <c r="CJ12" s="66"/>
    </row>
    <row r="13" spans="1:137" ht="13.5" thickBot="1" x14ac:dyDescent="0.25">
      <c r="A13" s="75">
        <v>4</v>
      </c>
      <c r="B13" s="76">
        <f>AD4</f>
        <v>0</v>
      </c>
      <c r="C13" s="75">
        <v>4</v>
      </c>
      <c r="D13" s="74">
        <f t="shared" si="1"/>
        <v>18</v>
      </c>
      <c r="E13" s="74">
        <f t="shared" si="0"/>
        <v>19</v>
      </c>
      <c r="F13" s="74">
        <f t="shared" si="2"/>
        <v>17</v>
      </c>
      <c r="G13" s="74">
        <f t="shared" si="3"/>
        <v>18</v>
      </c>
      <c r="H13" s="74">
        <f t="shared" si="4"/>
        <v>19</v>
      </c>
      <c r="I13" s="77">
        <f>AD7</f>
        <v>190000</v>
      </c>
      <c r="J13" s="77">
        <f>AE10</f>
        <v>0</v>
      </c>
      <c r="K13" s="78">
        <f>AF10</f>
        <v>0</v>
      </c>
      <c r="L13" s="77"/>
      <c r="M13" s="77">
        <f>AG10</f>
        <v>0</v>
      </c>
      <c r="N13" s="175">
        <f>N12+5</f>
        <v>20</v>
      </c>
      <c r="O13" s="177"/>
      <c r="P13" s="330">
        <v>0</v>
      </c>
      <c r="Q13" s="33"/>
      <c r="R13" s="33"/>
      <c r="S13" s="176"/>
      <c r="T13" s="177"/>
      <c r="U13" s="330">
        <v>0</v>
      </c>
      <c r="V13" s="33"/>
      <c r="W13" s="33"/>
      <c r="X13" s="176"/>
      <c r="Y13" s="177"/>
      <c r="Z13" s="330">
        <v>0</v>
      </c>
      <c r="AA13" s="33"/>
      <c r="AB13" s="33"/>
      <c r="AC13" s="176"/>
      <c r="AD13" s="177"/>
      <c r="AE13" s="33"/>
      <c r="AF13" s="33"/>
      <c r="AG13" s="33"/>
      <c r="AH13" s="176"/>
      <c r="AI13" s="177"/>
      <c r="AJ13" s="33"/>
      <c r="AK13" s="33"/>
      <c r="AL13" s="33"/>
      <c r="AM13" s="176"/>
      <c r="AN13" s="177"/>
      <c r="AO13" s="33"/>
      <c r="AP13" s="33"/>
      <c r="AQ13" s="33"/>
      <c r="AR13" s="176"/>
      <c r="AS13" s="177"/>
      <c r="AT13" s="33"/>
      <c r="AU13" s="33"/>
      <c r="AV13" s="33"/>
      <c r="AW13" s="176"/>
      <c r="AX13" s="177"/>
      <c r="AY13" s="33"/>
      <c r="AZ13" s="33"/>
      <c r="BA13" s="33"/>
      <c r="BB13" s="176"/>
      <c r="BC13" s="177"/>
      <c r="BD13" s="33"/>
      <c r="BE13" s="33"/>
      <c r="BF13" s="33"/>
      <c r="BG13" s="176"/>
      <c r="BH13" s="177"/>
      <c r="BI13" s="33"/>
      <c r="BJ13" s="33"/>
      <c r="BK13" s="33"/>
      <c r="BL13" s="176"/>
      <c r="BM13" s="177"/>
      <c r="BN13" s="33"/>
      <c r="BO13" s="33"/>
      <c r="BP13" s="33"/>
      <c r="BQ13" s="176"/>
      <c r="BR13" s="177"/>
      <c r="BS13" s="33"/>
      <c r="BT13" s="33"/>
      <c r="BU13" s="33"/>
      <c r="BV13" s="176"/>
      <c r="BW13" s="177"/>
      <c r="BX13" s="33"/>
      <c r="BY13" s="33"/>
      <c r="BZ13" s="33"/>
      <c r="CA13" s="176"/>
      <c r="CB13" s="177"/>
      <c r="CC13" s="33"/>
      <c r="CD13" s="33"/>
      <c r="CE13" s="33"/>
      <c r="CF13" s="176"/>
      <c r="CG13" s="31"/>
      <c r="CH13" s="16"/>
      <c r="CI13" s="20"/>
      <c r="CJ13" s="34"/>
    </row>
    <row r="14" spans="1:137" ht="13.5" thickBot="1" x14ac:dyDescent="0.25">
      <c r="A14" s="75">
        <v>5</v>
      </c>
      <c r="B14" s="76">
        <f>AI4</f>
        <v>0</v>
      </c>
      <c r="C14" s="75">
        <v>5</v>
      </c>
      <c r="D14" s="74">
        <f t="shared" si="1"/>
        <v>23</v>
      </c>
      <c r="E14" s="74">
        <f t="shared" si="0"/>
        <v>24</v>
      </c>
      <c r="F14" s="74">
        <f t="shared" si="2"/>
        <v>22</v>
      </c>
      <c r="G14" s="74">
        <f t="shared" si="3"/>
        <v>23</v>
      </c>
      <c r="H14" s="74">
        <f t="shared" si="4"/>
        <v>24</v>
      </c>
      <c r="I14" s="77">
        <f>AI7</f>
        <v>170000</v>
      </c>
      <c r="J14" s="77">
        <f>AJ10</f>
        <v>0</v>
      </c>
      <c r="K14" s="78">
        <f>AK10</f>
        <v>0</v>
      </c>
      <c r="L14" s="77"/>
      <c r="M14" s="77">
        <f>AL10</f>
        <v>0</v>
      </c>
      <c r="N14" s="175">
        <f t="shared" ref="N14:N23" si="5">N13+5</f>
        <v>25</v>
      </c>
      <c r="O14" s="178"/>
      <c r="P14" s="33"/>
      <c r="Q14" s="33"/>
      <c r="R14" s="33"/>
      <c r="S14" s="176"/>
      <c r="T14" s="178"/>
      <c r="U14" s="33"/>
      <c r="V14" s="33"/>
      <c r="W14" s="33"/>
      <c r="X14" s="176"/>
      <c r="Y14" s="178"/>
      <c r="Z14" s="33"/>
      <c r="AA14" s="33"/>
      <c r="AB14" s="33"/>
      <c r="AC14" s="176"/>
      <c r="AD14" s="178"/>
      <c r="AE14" s="33"/>
      <c r="AF14" s="33"/>
      <c r="AG14" s="33"/>
      <c r="AH14" s="176"/>
      <c r="AI14" s="178"/>
      <c r="AJ14" s="33"/>
      <c r="AK14" s="33"/>
      <c r="AL14" s="33"/>
      <c r="AM14" s="176"/>
      <c r="AN14" s="178"/>
      <c r="AO14" s="33"/>
      <c r="AP14" s="33"/>
      <c r="AQ14" s="33"/>
      <c r="AR14" s="176"/>
      <c r="AS14" s="178"/>
      <c r="AT14" s="33"/>
      <c r="AU14" s="33"/>
      <c r="AV14" s="33"/>
      <c r="AW14" s="176"/>
      <c r="AX14" s="178"/>
      <c r="AY14" s="33"/>
      <c r="AZ14" s="33"/>
      <c r="BA14" s="33"/>
      <c r="BB14" s="176"/>
      <c r="BC14" s="178"/>
      <c r="BD14" s="33"/>
      <c r="BE14" s="33"/>
      <c r="BF14" s="33"/>
      <c r="BG14" s="176"/>
      <c r="BH14" s="178"/>
      <c r="BI14" s="33"/>
      <c r="BJ14" s="33"/>
      <c r="BK14" s="33"/>
      <c r="BL14" s="176"/>
      <c r="BM14" s="178"/>
      <c r="BN14" s="33"/>
      <c r="BO14" s="33"/>
      <c r="BP14" s="33"/>
      <c r="BQ14" s="176"/>
      <c r="BR14" s="178"/>
      <c r="BS14" s="33"/>
      <c r="BT14" s="33"/>
      <c r="BU14" s="33"/>
      <c r="BV14" s="176"/>
      <c r="BW14" s="178"/>
      <c r="BX14" s="33"/>
      <c r="BY14" s="33"/>
      <c r="BZ14" s="33"/>
      <c r="CA14" s="176"/>
      <c r="CB14" s="178"/>
      <c r="CC14" s="33"/>
      <c r="CD14" s="33"/>
      <c r="CE14" s="33"/>
      <c r="CF14" s="176"/>
      <c r="CG14" s="31"/>
      <c r="CH14" s="33"/>
      <c r="CI14" s="33"/>
      <c r="CJ14" s="34"/>
    </row>
    <row r="15" spans="1:137" ht="18.75" customHeight="1" thickBot="1" x14ac:dyDescent="0.25">
      <c r="A15" s="75">
        <v>6</v>
      </c>
      <c r="B15" s="76">
        <f>AN4</f>
        <v>0</v>
      </c>
      <c r="C15" s="75">
        <v>6</v>
      </c>
      <c r="D15" s="74">
        <f t="shared" si="1"/>
        <v>28</v>
      </c>
      <c r="E15" s="74">
        <f t="shared" si="0"/>
        <v>29</v>
      </c>
      <c r="F15" s="74">
        <f t="shared" si="2"/>
        <v>27</v>
      </c>
      <c r="G15" s="74">
        <f t="shared" si="3"/>
        <v>28</v>
      </c>
      <c r="H15" s="74">
        <f t="shared" si="4"/>
        <v>29</v>
      </c>
      <c r="I15" s="77">
        <f>AN7</f>
        <v>170000</v>
      </c>
      <c r="J15" s="77">
        <f>AO10</f>
        <v>0</v>
      </c>
      <c r="K15" s="78">
        <f>AP10</f>
        <v>0</v>
      </c>
      <c r="L15" s="77"/>
      <c r="M15" s="77">
        <f>AQ10</f>
        <v>0</v>
      </c>
      <c r="N15" s="175">
        <f t="shared" si="5"/>
        <v>30</v>
      </c>
      <c r="O15" s="179"/>
      <c r="P15" s="351" t="s">
        <v>255</v>
      </c>
      <c r="Q15" s="352" t="s">
        <v>17</v>
      </c>
      <c r="R15" s="352" t="s">
        <v>16</v>
      </c>
      <c r="S15" s="36" t="s">
        <v>13</v>
      </c>
      <c r="T15" s="179"/>
      <c r="U15" s="15" t="s">
        <v>116</v>
      </c>
      <c r="V15" s="15" t="s">
        <v>17</v>
      </c>
      <c r="W15" s="15" t="s">
        <v>16</v>
      </c>
      <c r="X15" s="36" t="s">
        <v>13</v>
      </c>
      <c r="Y15" s="179"/>
      <c r="Z15" s="15" t="s">
        <v>116</v>
      </c>
      <c r="AA15" s="15" t="s">
        <v>17</v>
      </c>
      <c r="AB15" s="15" t="s">
        <v>16</v>
      </c>
      <c r="AC15" s="36" t="s">
        <v>13</v>
      </c>
      <c r="AD15" s="179"/>
      <c r="AE15" s="15" t="s">
        <v>116</v>
      </c>
      <c r="AF15" s="15" t="s">
        <v>17</v>
      </c>
      <c r="AG15" s="15" t="s">
        <v>16</v>
      </c>
      <c r="AH15" s="36" t="s">
        <v>13</v>
      </c>
      <c r="AI15" s="179"/>
      <c r="AJ15" s="15" t="s">
        <v>116</v>
      </c>
      <c r="AK15" s="15" t="s">
        <v>17</v>
      </c>
      <c r="AL15" s="15" t="s">
        <v>16</v>
      </c>
      <c r="AM15" s="36" t="s">
        <v>13</v>
      </c>
      <c r="AN15" s="179"/>
      <c r="AO15" s="15" t="s">
        <v>116</v>
      </c>
      <c r="AP15" s="15" t="s">
        <v>17</v>
      </c>
      <c r="AQ15" s="15" t="s">
        <v>16</v>
      </c>
      <c r="AR15" s="36" t="s">
        <v>13</v>
      </c>
      <c r="AS15" s="179"/>
      <c r="AT15" s="15" t="s">
        <v>116</v>
      </c>
      <c r="AU15" s="15" t="s">
        <v>17</v>
      </c>
      <c r="AV15" s="15" t="s">
        <v>16</v>
      </c>
      <c r="AW15" s="36" t="s">
        <v>13</v>
      </c>
      <c r="AX15" s="179"/>
      <c r="AY15" s="15" t="s">
        <v>116</v>
      </c>
      <c r="AZ15" s="15" t="s">
        <v>17</v>
      </c>
      <c r="BA15" s="15" t="s">
        <v>16</v>
      </c>
      <c r="BB15" s="36" t="s">
        <v>13</v>
      </c>
      <c r="BC15" s="179"/>
      <c r="BD15" s="15" t="s">
        <v>116</v>
      </c>
      <c r="BE15" s="15" t="s">
        <v>17</v>
      </c>
      <c r="BF15" s="15" t="s">
        <v>16</v>
      </c>
      <c r="BG15" s="36" t="s">
        <v>13</v>
      </c>
      <c r="BH15" s="179"/>
      <c r="BI15" s="15" t="s">
        <v>116</v>
      </c>
      <c r="BJ15" s="15" t="s">
        <v>17</v>
      </c>
      <c r="BK15" s="15" t="s">
        <v>16</v>
      </c>
      <c r="BL15" s="36" t="s">
        <v>13</v>
      </c>
      <c r="BM15" s="179"/>
      <c r="BN15" s="15" t="s">
        <v>116</v>
      </c>
      <c r="BO15" s="15" t="s">
        <v>17</v>
      </c>
      <c r="BP15" s="15" t="s">
        <v>16</v>
      </c>
      <c r="BQ15" s="36" t="s">
        <v>13</v>
      </c>
      <c r="BR15" s="179"/>
      <c r="BS15" s="15" t="s">
        <v>116</v>
      </c>
      <c r="BT15" s="15" t="s">
        <v>17</v>
      </c>
      <c r="BU15" s="15" t="s">
        <v>16</v>
      </c>
      <c r="BV15" s="36" t="s">
        <v>13</v>
      </c>
      <c r="BW15" s="179"/>
      <c r="BX15" s="15" t="s">
        <v>116</v>
      </c>
      <c r="BY15" s="15" t="s">
        <v>17</v>
      </c>
      <c r="BZ15" s="15" t="s">
        <v>16</v>
      </c>
      <c r="CA15" s="36" t="s">
        <v>13</v>
      </c>
      <c r="CB15" s="179"/>
      <c r="CC15" s="15" t="s">
        <v>116</v>
      </c>
      <c r="CD15" s="15" t="s">
        <v>17</v>
      </c>
      <c r="CE15" s="15" t="s">
        <v>16</v>
      </c>
      <c r="CF15" s="36" t="s">
        <v>13</v>
      </c>
      <c r="CG15" s="35"/>
      <c r="CH15" s="15"/>
      <c r="CI15" s="15"/>
      <c r="CJ15" s="15"/>
      <c r="CK15" s="36"/>
    </row>
    <row r="16" spans="1:137" ht="19.5" customHeight="1" thickBot="1" x14ac:dyDescent="0.25">
      <c r="A16" s="75">
        <v>7</v>
      </c>
      <c r="B16" s="76">
        <f>AS4</f>
        <v>0</v>
      </c>
      <c r="C16" s="75">
        <v>7</v>
      </c>
      <c r="D16" s="74">
        <f t="shared" si="1"/>
        <v>33</v>
      </c>
      <c r="E16" s="74">
        <f t="shared" si="0"/>
        <v>34</v>
      </c>
      <c r="F16" s="74">
        <f t="shared" si="2"/>
        <v>32</v>
      </c>
      <c r="G16" s="74">
        <f t="shared" si="3"/>
        <v>33</v>
      </c>
      <c r="H16" s="74">
        <f t="shared" si="4"/>
        <v>34</v>
      </c>
      <c r="I16" s="77">
        <f>AS7</f>
        <v>170000</v>
      </c>
      <c r="J16" s="77">
        <f>AT10</f>
        <v>0</v>
      </c>
      <c r="K16" s="78">
        <f>AU10</f>
        <v>0</v>
      </c>
      <c r="L16" s="77"/>
      <c r="M16" s="77">
        <f>AV10</f>
        <v>0</v>
      </c>
      <c r="N16" s="175">
        <f t="shared" si="5"/>
        <v>35</v>
      </c>
      <c r="O16" s="37">
        <v>1</v>
      </c>
      <c r="P16" s="353" t="s">
        <v>256</v>
      </c>
      <c r="Q16" s="356">
        <f>VLOOKUP(P16,Apoio!C:E,2,0)</f>
        <v>215530</v>
      </c>
      <c r="R16" s="355">
        <v>220000</v>
      </c>
      <c r="S16" s="216">
        <v>5</v>
      </c>
      <c r="T16" s="37">
        <v>1</v>
      </c>
      <c r="U16" s="225" t="s">
        <v>245</v>
      </c>
      <c r="V16" s="332">
        <v>231156</v>
      </c>
      <c r="W16" s="222"/>
      <c r="X16" s="216">
        <f>S16</f>
        <v>5</v>
      </c>
      <c r="Y16" s="37">
        <v>1</v>
      </c>
      <c r="Z16" s="225"/>
      <c r="AA16" s="332"/>
      <c r="AB16" s="333"/>
      <c r="AC16" s="334"/>
      <c r="AD16" s="37">
        <v>1</v>
      </c>
      <c r="AE16" s="225"/>
      <c r="AF16" s="214"/>
      <c r="AG16" s="222"/>
      <c r="AH16" s="217"/>
      <c r="AI16" s="37">
        <v>1</v>
      </c>
      <c r="AJ16" s="226"/>
      <c r="AK16" s="214"/>
      <c r="AL16" s="222"/>
      <c r="AM16" s="217"/>
      <c r="AN16" s="37">
        <v>1</v>
      </c>
      <c r="AO16" s="185"/>
      <c r="AP16" s="169"/>
      <c r="AQ16" s="169"/>
      <c r="AR16" s="188"/>
      <c r="AS16" s="37">
        <v>1</v>
      </c>
      <c r="AT16" s="185"/>
      <c r="AU16" s="169"/>
      <c r="AV16" s="169"/>
      <c r="AW16" s="188"/>
      <c r="AX16" s="37">
        <v>1</v>
      </c>
      <c r="AY16" s="185"/>
      <c r="AZ16" s="169"/>
      <c r="BA16" s="169"/>
      <c r="BB16" s="188"/>
      <c r="BC16" s="37">
        <v>1</v>
      </c>
      <c r="BD16" s="185"/>
      <c r="BE16" s="169"/>
      <c r="BF16" s="169"/>
      <c r="BG16" s="188"/>
      <c r="BH16" s="37">
        <v>1</v>
      </c>
      <c r="BI16" s="185"/>
      <c r="BJ16" s="169"/>
      <c r="BK16" s="169"/>
      <c r="BL16" s="188"/>
      <c r="BM16" s="37">
        <v>1</v>
      </c>
      <c r="BN16" s="185"/>
      <c r="BO16" s="169"/>
      <c r="BP16" s="169"/>
      <c r="BQ16" s="188"/>
      <c r="BR16" s="37">
        <v>1</v>
      </c>
      <c r="BS16" s="185"/>
      <c r="BT16" s="169"/>
      <c r="BU16" s="169"/>
      <c r="BV16" s="188"/>
      <c r="BW16" s="37">
        <v>1</v>
      </c>
      <c r="BX16" s="185"/>
      <c r="BY16" s="169"/>
      <c r="BZ16" s="169"/>
      <c r="CA16" s="188"/>
      <c r="CB16" s="37">
        <v>1</v>
      </c>
      <c r="CC16" s="185"/>
      <c r="CD16" s="169"/>
      <c r="CE16" s="169"/>
      <c r="CF16" s="188"/>
      <c r="CG16" s="37"/>
      <c r="CH16" s="11"/>
      <c r="CI16" s="23"/>
      <c r="CJ16" s="23"/>
      <c r="CK16" s="38"/>
    </row>
    <row r="17" spans="1:89" s="1" customFormat="1" ht="19.5" customHeight="1" thickBot="1" x14ac:dyDescent="0.25">
      <c r="A17" s="75">
        <v>8</v>
      </c>
      <c r="B17" s="79">
        <f>AX4</f>
        <v>0</v>
      </c>
      <c r="C17" s="75">
        <v>8</v>
      </c>
      <c r="D17" s="74">
        <f t="shared" si="1"/>
        <v>38</v>
      </c>
      <c r="E17" s="74">
        <f t="shared" si="0"/>
        <v>39</v>
      </c>
      <c r="F17" s="74">
        <f t="shared" si="2"/>
        <v>37</v>
      </c>
      <c r="G17" s="74">
        <f t="shared" si="3"/>
        <v>38</v>
      </c>
      <c r="H17" s="74">
        <f t="shared" si="4"/>
        <v>39</v>
      </c>
      <c r="I17" s="80">
        <f>AX7</f>
        <v>130000</v>
      </c>
      <c r="J17" s="77">
        <f>AY10</f>
        <v>0</v>
      </c>
      <c r="K17" s="78">
        <f>AZ10</f>
        <v>0</v>
      </c>
      <c r="L17" s="77"/>
      <c r="M17" s="77">
        <f>BA10</f>
        <v>0</v>
      </c>
      <c r="N17" s="175">
        <f t="shared" si="5"/>
        <v>40</v>
      </c>
      <c r="O17" s="39">
        <v>2</v>
      </c>
      <c r="P17" s="353" t="s">
        <v>257</v>
      </c>
      <c r="Q17" s="356">
        <f>VLOOKUP(P17,Apoio!C:E,2,0)</f>
        <v>215000</v>
      </c>
      <c r="R17" s="355">
        <v>220000</v>
      </c>
      <c r="S17" s="216">
        <v>5</v>
      </c>
      <c r="T17" s="39">
        <v>2</v>
      </c>
      <c r="U17" s="225" t="s">
        <v>246</v>
      </c>
      <c r="V17" s="332">
        <v>223098</v>
      </c>
      <c r="W17" s="222"/>
      <c r="X17" s="216">
        <f t="shared" ref="X17:X26" si="6">S17</f>
        <v>5</v>
      </c>
      <c r="Y17" s="39">
        <v>2</v>
      </c>
      <c r="Z17" s="225"/>
      <c r="AA17" s="332"/>
      <c r="AB17" s="333"/>
      <c r="AC17" s="334"/>
      <c r="AD17" s="39">
        <v>2</v>
      </c>
      <c r="AE17" s="225"/>
      <c r="AF17" s="215"/>
      <c r="AG17" s="222"/>
      <c r="AH17" s="217"/>
      <c r="AI17" s="39">
        <v>2</v>
      </c>
      <c r="AJ17" s="226"/>
      <c r="AK17" s="214"/>
      <c r="AL17" s="222"/>
      <c r="AM17" s="217"/>
      <c r="AN17" s="39">
        <v>2</v>
      </c>
      <c r="AO17" s="186"/>
      <c r="AP17" s="170"/>
      <c r="AQ17" s="170"/>
      <c r="AR17" s="189"/>
      <c r="AS17" s="39">
        <v>2</v>
      </c>
      <c r="AT17" s="186"/>
      <c r="AU17" s="170"/>
      <c r="AV17" s="170"/>
      <c r="AW17" s="189"/>
      <c r="AX17" s="39">
        <v>2</v>
      </c>
      <c r="AY17" s="186"/>
      <c r="AZ17" s="170"/>
      <c r="BA17" s="170"/>
      <c r="BB17" s="189"/>
      <c r="BC17" s="39">
        <v>2</v>
      </c>
      <c r="BD17" s="186"/>
      <c r="BE17" s="170"/>
      <c r="BF17" s="170"/>
      <c r="BG17" s="189"/>
      <c r="BH17" s="39">
        <v>2</v>
      </c>
      <c r="BI17" s="186"/>
      <c r="BJ17" s="170"/>
      <c r="BK17" s="170"/>
      <c r="BL17" s="189"/>
      <c r="BM17" s="39">
        <v>2</v>
      </c>
      <c r="BN17" s="186"/>
      <c r="BO17" s="170"/>
      <c r="BP17" s="170"/>
      <c r="BQ17" s="189"/>
      <c r="BR17" s="39">
        <v>2</v>
      </c>
      <c r="BS17" s="186"/>
      <c r="BT17" s="170"/>
      <c r="BU17" s="170"/>
      <c r="BV17" s="189"/>
      <c r="BW17" s="39">
        <v>2</v>
      </c>
      <c r="BX17" s="186"/>
      <c r="BY17" s="170"/>
      <c r="BZ17" s="170"/>
      <c r="CA17" s="189"/>
      <c r="CB17" s="39">
        <v>2</v>
      </c>
      <c r="CC17" s="186"/>
      <c r="CD17" s="170"/>
      <c r="CE17" s="170"/>
      <c r="CF17" s="189"/>
      <c r="CG17" s="39"/>
      <c r="CH17" s="6"/>
      <c r="CI17" s="24"/>
      <c r="CJ17" s="24"/>
      <c r="CK17" s="40"/>
    </row>
    <row r="18" spans="1:89" s="2" customFormat="1" ht="19.5" customHeight="1" thickBot="1" x14ac:dyDescent="0.25">
      <c r="A18" s="75">
        <v>9</v>
      </c>
      <c r="B18" s="79">
        <f>BC4</f>
        <v>0</v>
      </c>
      <c r="C18" s="75">
        <v>9</v>
      </c>
      <c r="D18" s="74">
        <f t="shared" si="1"/>
        <v>43</v>
      </c>
      <c r="E18" s="74">
        <f t="shared" si="0"/>
        <v>44</v>
      </c>
      <c r="F18" s="74">
        <f t="shared" si="2"/>
        <v>42</v>
      </c>
      <c r="G18" s="74">
        <f t="shared" si="3"/>
        <v>43</v>
      </c>
      <c r="H18" s="74">
        <f t="shared" si="4"/>
        <v>44</v>
      </c>
      <c r="I18" s="80">
        <f>BC7</f>
        <v>130000</v>
      </c>
      <c r="J18" s="77">
        <f>BD10</f>
        <v>0</v>
      </c>
      <c r="K18" s="78">
        <f>BE10</f>
        <v>0</v>
      </c>
      <c r="L18" s="77"/>
      <c r="M18" s="77">
        <f>BF10</f>
        <v>0</v>
      </c>
      <c r="N18" s="175">
        <f t="shared" si="5"/>
        <v>45</v>
      </c>
      <c r="O18" s="37">
        <v>3</v>
      </c>
      <c r="P18" s="353" t="s">
        <v>258</v>
      </c>
      <c r="Q18" s="356">
        <f>VLOOKUP(P18,Apoio!C:E,2,0)</f>
        <v>215000</v>
      </c>
      <c r="R18" s="355">
        <v>220000</v>
      </c>
      <c r="S18" s="216">
        <v>5</v>
      </c>
      <c r="T18" s="39">
        <v>3</v>
      </c>
      <c r="U18" s="225" t="s">
        <v>251</v>
      </c>
      <c r="V18" s="332">
        <v>231156</v>
      </c>
      <c r="W18" s="222"/>
      <c r="X18" s="216">
        <f t="shared" si="6"/>
        <v>5</v>
      </c>
      <c r="Y18" s="39">
        <v>3</v>
      </c>
      <c r="Z18" s="225"/>
      <c r="AA18" s="332"/>
      <c r="AB18" s="333"/>
      <c r="AC18" s="334"/>
      <c r="AD18" s="39">
        <v>3</v>
      </c>
      <c r="AE18" s="225"/>
      <c r="AF18" s="215"/>
      <c r="AG18" s="222"/>
      <c r="AH18" s="217"/>
      <c r="AI18" s="39">
        <v>3</v>
      </c>
      <c r="AJ18" s="226"/>
      <c r="AK18" s="214"/>
      <c r="AL18" s="222"/>
      <c r="AM18" s="217"/>
      <c r="AN18" s="39">
        <v>3</v>
      </c>
      <c r="AO18" s="186"/>
      <c r="AP18" s="171"/>
      <c r="AQ18" s="171"/>
      <c r="AR18" s="189"/>
      <c r="AS18" s="39">
        <v>3</v>
      </c>
      <c r="AT18" s="186"/>
      <c r="AU18" s="171"/>
      <c r="AV18" s="171"/>
      <c r="AW18" s="189"/>
      <c r="AX18" s="39">
        <v>3</v>
      </c>
      <c r="AY18" s="186"/>
      <c r="AZ18" s="171"/>
      <c r="BA18" s="171"/>
      <c r="BB18" s="189"/>
      <c r="BC18" s="39">
        <v>3</v>
      </c>
      <c r="BD18" s="186"/>
      <c r="BE18" s="171"/>
      <c r="BF18" s="171"/>
      <c r="BG18" s="189"/>
      <c r="BH18" s="39">
        <v>3</v>
      </c>
      <c r="BI18" s="186"/>
      <c r="BJ18" s="171"/>
      <c r="BK18" s="171"/>
      <c r="BL18" s="189"/>
      <c r="BM18" s="39">
        <v>3</v>
      </c>
      <c r="BN18" s="186"/>
      <c r="BO18" s="171"/>
      <c r="BP18" s="171"/>
      <c r="BQ18" s="189"/>
      <c r="BR18" s="39">
        <v>3</v>
      </c>
      <c r="BS18" s="186"/>
      <c r="BT18" s="171"/>
      <c r="BU18" s="171"/>
      <c r="BV18" s="189"/>
      <c r="BW18" s="39">
        <v>3</v>
      </c>
      <c r="BX18" s="186"/>
      <c r="BY18" s="171"/>
      <c r="BZ18" s="171"/>
      <c r="CA18" s="189"/>
      <c r="CB18" s="39">
        <v>3</v>
      </c>
      <c r="CC18" s="186"/>
      <c r="CD18" s="171"/>
      <c r="CE18" s="171"/>
      <c r="CF18" s="189"/>
      <c r="CG18" s="39"/>
      <c r="CH18" s="13"/>
      <c r="CI18" s="25"/>
      <c r="CJ18" s="25"/>
      <c r="CK18" s="41"/>
    </row>
    <row r="19" spans="1:89" ht="13.5" thickBot="1" x14ac:dyDescent="0.25">
      <c r="A19" s="75">
        <v>10</v>
      </c>
      <c r="B19" s="76">
        <f>BH4</f>
        <v>0</v>
      </c>
      <c r="C19" s="75">
        <v>10</v>
      </c>
      <c r="D19" s="74">
        <f t="shared" si="1"/>
        <v>48</v>
      </c>
      <c r="E19" s="74">
        <f t="shared" si="0"/>
        <v>49</v>
      </c>
      <c r="F19" s="74">
        <f t="shared" si="2"/>
        <v>47</v>
      </c>
      <c r="G19" s="74">
        <f t="shared" si="3"/>
        <v>48</v>
      </c>
      <c r="H19" s="74">
        <f t="shared" si="4"/>
        <v>49</v>
      </c>
      <c r="I19" s="77">
        <f>BH7</f>
        <v>130000</v>
      </c>
      <c r="J19" s="77">
        <f>BI10</f>
        <v>0</v>
      </c>
      <c r="K19" s="78">
        <f>BJ10</f>
        <v>0</v>
      </c>
      <c r="L19" s="77"/>
      <c r="M19" s="77">
        <f>BK10</f>
        <v>0</v>
      </c>
      <c r="N19" s="175">
        <f t="shared" si="5"/>
        <v>50</v>
      </c>
      <c r="O19" s="39">
        <v>4</v>
      </c>
      <c r="P19" s="353" t="s">
        <v>259</v>
      </c>
      <c r="Q19" s="356">
        <f>VLOOKUP(P19,Apoio!C:E,2,0)</f>
        <v>214130</v>
      </c>
      <c r="R19" s="355">
        <v>220000</v>
      </c>
      <c r="S19" s="216">
        <v>5</v>
      </c>
      <c r="T19" s="37">
        <v>4</v>
      </c>
      <c r="U19" s="225" t="s">
        <v>252</v>
      </c>
      <c r="V19" s="332">
        <v>223098</v>
      </c>
      <c r="W19" s="222"/>
      <c r="X19" s="216">
        <f t="shared" si="6"/>
        <v>5</v>
      </c>
      <c r="Y19" s="37">
        <v>4</v>
      </c>
      <c r="Z19" s="225"/>
      <c r="AA19" s="332"/>
      <c r="AB19" s="333"/>
      <c r="AC19" s="334"/>
      <c r="AD19" s="37">
        <v>4</v>
      </c>
      <c r="AE19" s="225"/>
      <c r="AF19" s="335"/>
      <c r="AG19" s="222"/>
      <c r="AH19" s="217"/>
      <c r="AI19" s="37">
        <v>4</v>
      </c>
      <c r="AJ19" s="226"/>
      <c r="AK19" s="214"/>
      <c r="AL19" s="222"/>
      <c r="AM19" s="217"/>
      <c r="AN19" s="37">
        <v>4</v>
      </c>
      <c r="AO19" s="185"/>
      <c r="AP19" s="169"/>
      <c r="AQ19" s="169"/>
      <c r="AR19" s="188"/>
      <c r="AS19" s="37">
        <v>4</v>
      </c>
      <c r="AT19" s="185"/>
      <c r="AU19" s="169"/>
      <c r="AV19" s="169"/>
      <c r="AW19" s="188"/>
      <c r="AX19" s="37">
        <v>4</v>
      </c>
      <c r="AY19" s="185"/>
      <c r="AZ19" s="169"/>
      <c r="BA19" s="169"/>
      <c r="BB19" s="188"/>
      <c r="BC19" s="37">
        <v>4</v>
      </c>
      <c r="BD19" s="185"/>
      <c r="BE19" s="169"/>
      <c r="BF19" s="169"/>
      <c r="BG19" s="188"/>
      <c r="BH19" s="37">
        <v>4</v>
      </c>
      <c r="BI19" s="185"/>
      <c r="BJ19" s="169"/>
      <c r="BK19" s="169"/>
      <c r="BL19" s="188"/>
      <c r="BM19" s="37">
        <v>4</v>
      </c>
      <c r="BN19" s="185"/>
      <c r="BO19" s="169"/>
      <c r="BP19" s="169"/>
      <c r="BQ19" s="188"/>
      <c r="BR19" s="37">
        <v>4</v>
      </c>
      <c r="BS19" s="185"/>
      <c r="BT19" s="169"/>
      <c r="BU19" s="169"/>
      <c r="BV19" s="188"/>
      <c r="BW19" s="37">
        <v>4</v>
      </c>
      <c r="BX19" s="185"/>
      <c r="BY19" s="169"/>
      <c r="BZ19" s="169"/>
      <c r="CA19" s="188"/>
      <c r="CB19" s="37">
        <v>4</v>
      </c>
      <c r="CC19" s="185"/>
      <c r="CD19" s="169"/>
      <c r="CE19" s="169"/>
      <c r="CF19" s="188"/>
      <c r="CG19" s="37"/>
      <c r="CH19" s="11"/>
      <c r="CI19" s="23"/>
      <c r="CJ19" s="23"/>
      <c r="CK19" s="38"/>
    </row>
    <row r="20" spans="1:89" ht="13.5" thickBot="1" x14ac:dyDescent="0.25">
      <c r="A20" s="75">
        <v>11</v>
      </c>
      <c r="B20" s="76">
        <f>BM4</f>
        <v>0</v>
      </c>
      <c r="C20" s="75">
        <v>11</v>
      </c>
      <c r="D20" s="74">
        <f t="shared" si="1"/>
        <v>53</v>
      </c>
      <c r="E20" s="74">
        <f t="shared" si="0"/>
        <v>54</v>
      </c>
      <c r="F20" s="74">
        <f t="shared" si="2"/>
        <v>52</v>
      </c>
      <c r="G20" s="74">
        <f t="shared" si="3"/>
        <v>53</v>
      </c>
      <c r="H20" s="74">
        <f t="shared" si="4"/>
        <v>54</v>
      </c>
      <c r="I20" s="77">
        <f>BM7</f>
        <v>130000</v>
      </c>
      <c r="J20" s="77">
        <f>BN10</f>
        <v>0</v>
      </c>
      <c r="K20" s="78">
        <f>BO10</f>
        <v>0</v>
      </c>
      <c r="L20" s="77"/>
      <c r="M20" s="77">
        <f>BP10</f>
        <v>0</v>
      </c>
      <c r="N20" s="175">
        <f t="shared" si="5"/>
        <v>55</v>
      </c>
      <c r="O20" s="37">
        <v>5</v>
      </c>
      <c r="P20" s="353" t="s">
        <v>260</v>
      </c>
      <c r="Q20" s="356">
        <f>VLOOKUP(P20,Apoio!C:E,2,0)</f>
        <v>214130</v>
      </c>
      <c r="R20" s="355">
        <v>220000</v>
      </c>
      <c r="S20" s="216">
        <v>5</v>
      </c>
      <c r="T20" s="37">
        <v>5</v>
      </c>
      <c r="U20" s="225" t="s">
        <v>253</v>
      </c>
      <c r="V20" s="332">
        <v>231156</v>
      </c>
      <c r="W20" s="222"/>
      <c r="X20" s="216">
        <f t="shared" si="6"/>
        <v>5</v>
      </c>
      <c r="Y20" s="37">
        <v>5</v>
      </c>
      <c r="Z20" s="225"/>
      <c r="AA20" s="332"/>
      <c r="AB20" s="333"/>
      <c r="AC20" s="334"/>
      <c r="AD20" s="37">
        <v>5</v>
      </c>
      <c r="AE20" s="225"/>
      <c r="AF20" s="335"/>
      <c r="AG20" s="222"/>
      <c r="AH20" s="217"/>
      <c r="AI20" s="37">
        <v>5</v>
      </c>
      <c r="AJ20" s="185"/>
      <c r="AK20" s="169"/>
      <c r="AL20" s="169"/>
      <c r="AM20" s="188"/>
      <c r="AN20" s="37">
        <v>5</v>
      </c>
      <c r="AO20" s="185"/>
      <c r="AP20" s="169"/>
      <c r="AQ20" s="169"/>
      <c r="AR20" s="188"/>
      <c r="AS20" s="37">
        <v>5</v>
      </c>
      <c r="AT20" s="185"/>
      <c r="AU20" s="169"/>
      <c r="AV20" s="169"/>
      <c r="AW20" s="188"/>
      <c r="AX20" s="37">
        <v>5</v>
      </c>
      <c r="AY20" s="185"/>
      <c r="AZ20" s="169"/>
      <c r="BA20" s="169"/>
      <c r="BB20" s="188"/>
      <c r="BC20" s="37">
        <v>5</v>
      </c>
      <c r="BD20" s="185"/>
      <c r="BE20" s="169"/>
      <c r="BF20" s="169"/>
      <c r="BG20" s="188"/>
      <c r="BH20" s="37">
        <v>5</v>
      </c>
      <c r="BI20" s="185"/>
      <c r="BJ20" s="169"/>
      <c r="BK20" s="169"/>
      <c r="BL20" s="188"/>
      <c r="BM20" s="37">
        <v>5</v>
      </c>
      <c r="BN20" s="185"/>
      <c r="BO20" s="169"/>
      <c r="BP20" s="169"/>
      <c r="BQ20" s="188"/>
      <c r="BR20" s="37">
        <v>5</v>
      </c>
      <c r="BS20" s="185"/>
      <c r="BT20" s="169"/>
      <c r="BU20" s="169"/>
      <c r="BV20" s="188"/>
      <c r="BW20" s="37">
        <v>5</v>
      </c>
      <c r="BX20" s="185"/>
      <c r="BY20" s="169"/>
      <c r="BZ20" s="169"/>
      <c r="CA20" s="188"/>
      <c r="CB20" s="37">
        <v>5</v>
      </c>
      <c r="CC20" s="185"/>
      <c r="CD20" s="169"/>
      <c r="CE20" s="169"/>
      <c r="CF20" s="188"/>
      <c r="CG20" s="37"/>
      <c r="CH20" s="11"/>
      <c r="CI20" s="23"/>
      <c r="CJ20" s="23"/>
      <c r="CK20" s="38"/>
    </row>
    <row r="21" spans="1:89" ht="13.5" thickBot="1" x14ac:dyDescent="0.25">
      <c r="A21" s="75">
        <v>12</v>
      </c>
      <c r="B21" s="76">
        <f>BR4</f>
        <v>0</v>
      </c>
      <c r="C21" s="75">
        <v>12</v>
      </c>
      <c r="D21" s="74">
        <f t="shared" si="1"/>
        <v>58</v>
      </c>
      <c r="E21" s="74">
        <f t="shared" si="0"/>
        <v>59</v>
      </c>
      <c r="F21" s="74">
        <f t="shared" si="2"/>
        <v>57</v>
      </c>
      <c r="G21" s="74">
        <f t="shared" si="3"/>
        <v>58</v>
      </c>
      <c r="H21" s="74">
        <f t="shared" si="4"/>
        <v>59</v>
      </c>
      <c r="I21" s="77">
        <f>BR7</f>
        <v>130000</v>
      </c>
      <c r="J21" s="77">
        <f>BS10</f>
        <v>0</v>
      </c>
      <c r="K21" s="78">
        <f>BT10</f>
        <v>0</v>
      </c>
      <c r="L21" s="77"/>
      <c r="M21" s="77">
        <f>BU10</f>
        <v>0</v>
      </c>
      <c r="N21" s="175">
        <f t="shared" si="5"/>
        <v>60</v>
      </c>
      <c r="O21" s="39">
        <v>6</v>
      </c>
      <c r="P21" s="353" t="s">
        <v>261</v>
      </c>
      <c r="Q21" s="356">
        <f>VLOOKUP(P21,Apoio!C:E,2,0)</f>
        <v>215000</v>
      </c>
      <c r="R21" s="355">
        <v>220000</v>
      </c>
      <c r="S21" s="216">
        <v>5</v>
      </c>
      <c r="T21" s="37">
        <v>6</v>
      </c>
      <c r="U21" s="225" t="s">
        <v>254</v>
      </c>
      <c r="V21" s="332">
        <v>223098</v>
      </c>
      <c r="W21" s="222"/>
      <c r="X21" s="216">
        <f t="shared" si="6"/>
        <v>5</v>
      </c>
      <c r="Y21" s="37">
        <v>6</v>
      </c>
      <c r="Z21" s="225"/>
      <c r="AA21" s="332"/>
      <c r="AB21" s="333"/>
      <c r="AC21" s="334"/>
      <c r="AD21" s="37">
        <v>6</v>
      </c>
      <c r="AE21" s="225"/>
      <c r="AF21" s="335"/>
      <c r="AG21" s="222"/>
      <c r="AH21" s="217"/>
      <c r="AI21" s="37">
        <v>6</v>
      </c>
      <c r="AJ21" s="185"/>
      <c r="AK21" s="169"/>
      <c r="AL21" s="169"/>
      <c r="AM21" s="188"/>
      <c r="AN21" s="37">
        <v>6</v>
      </c>
      <c r="AO21" s="185"/>
      <c r="AP21" s="169"/>
      <c r="AQ21" s="169"/>
      <c r="AR21" s="188"/>
      <c r="AS21" s="37">
        <v>6</v>
      </c>
      <c r="AT21" s="185"/>
      <c r="AU21" s="169"/>
      <c r="AV21" s="169"/>
      <c r="AW21" s="188"/>
      <c r="AX21" s="37">
        <v>6</v>
      </c>
      <c r="AY21" s="185"/>
      <c r="AZ21" s="169"/>
      <c r="BA21" s="169"/>
      <c r="BB21" s="188"/>
      <c r="BC21" s="37">
        <v>6</v>
      </c>
      <c r="BD21" s="185"/>
      <c r="BE21" s="169"/>
      <c r="BF21" s="169"/>
      <c r="BG21" s="188"/>
      <c r="BH21" s="37">
        <v>6</v>
      </c>
      <c r="BI21" s="185"/>
      <c r="BJ21" s="169"/>
      <c r="BK21" s="169"/>
      <c r="BL21" s="188"/>
      <c r="BM21" s="37">
        <v>6</v>
      </c>
      <c r="BN21" s="185"/>
      <c r="BO21" s="169"/>
      <c r="BP21" s="169"/>
      <c r="BQ21" s="188"/>
      <c r="BR21" s="37">
        <v>6</v>
      </c>
      <c r="BS21" s="185"/>
      <c r="BT21" s="169"/>
      <c r="BU21" s="169"/>
      <c r="BV21" s="188"/>
      <c r="BW21" s="37">
        <v>6</v>
      </c>
      <c r="BX21" s="185"/>
      <c r="BY21" s="169"/>
      <c r="BZ21" s="169"/>
      <c r="CA21" s="188"/>
      <c r="CB21" s="37">
        <v>6</v>
      </c>
      <c r="CC21" s="185"/>
      <c r="CD21" s="169"/>
      <c r="CE21" s="169"/>
      <c r="CF21" s="188"/>
      <c r="CG21" s="37"/>
      <c r="CH21" s="11"/>
      <c r="CI21" s="23"/>
      <c r="CJ21" s="23"/>
      <c r="CK21" s="38"/>
    </row>
    <row r="22" spans="1:89" ht="13.5" thickBot="1" x14ac:dyDescent="0.25">
      <c r="A22" s="75">
        <v>13</v>
      </c>
      <c r="B22" s="76">
        <f>BW4</f>
        <v>0</v>
      </c>
      <c r="C22" s="75">
        <v>13</v>
      </c>
      <c r="D22" s="74">
        <f t="shared" si="1"/>
        <v>63</v>
      </c>
      <c r="E22" s="74">
        <f t="shared" si="0"/>
        <v>64</v>
      </c>
      <c r="F22" s="74">
        <f t="shared" si="2"/>
        <v>62</v>
      </c>
      <c r="G22" s="74">
        <f t="shared" si="3"/>
        <v>63</v>
      </c>
      <c r="H22" s="74">
        <f t="shared" si="4"/>
        <v>64</v>
      </c>
      <c r="I22" s="77">
        <f>BW7</f>
        <v>130000</v>
      </c>
      <c r="J22" s="77">
        <f>BX10</f>
        <v>0</v>
      </c>
      <c r="K22" s="78">
        <f>BY10</f>
        <v>0</v>
      </c>
      <c r="L22" s="77"/>
      <c r="M22" s="77">
        <f>BZ10</f>
        <v>0</v>
      </c>
      <c r="N22" s="175">
        <f t="shared" si="5"/>
        <v>65</v>
      </c>
      <c r="O22" s="37">
        <v>7</v>
      </c>
      <c r="P22" s="353" t="s">
        <v>386</v>
      </c>
      <c r="Q22" s="356">
        <f>VLOOKUP(P22,Apoio!C:E,2,0)</f>
        <v>216670</v>
      </c>
      <c r="R22" s="355">
        <v>220000</v>
      </c>
      <c r="S22" s="216">
        <v>5</v>
      </c>
      <c r="T22" s="37">
        <v>7</v>
      </c>
      <c r="U22" s="225" t="s">
        <v>247</v>
      </c>
      <c r="V22" s="332">
        <v>215041</v>
      </c>
      <c r="W22" s="222"/>
      <c r="X22" s="216">
        <f t="shared" si="6"/>
        <v>5</v>
      </c>
      <c r="Y22" s="37">
        <v>7</v>
      </c>
      <c r="Z22" s="225"/>
      <c r="AA22" s="332"/>
      <c r="AB22" s="333"/>
      <c r="AC22" s="334"/>
      <c r="AD22" s="37">
        <v>7</v>
      </c>
      <c r="AE22" s="225"/>
      <c r="AF22" s="335"/>
      <c r="AG22" s="222"/>
      <c r="AH22" s="217"/>
      <c r="AI22" s="37">
        <v>7</v>
      </c>
      <c r="AJ22" s="185"/>
      <c r="AK22" s="169"/>
      <c r="AL22" s="169"/>
      <c r="AM22" s="188"/>
      <c r="AN22" s="37">
        <v>7</v>
      </c>
      <c r="AO22" s="185"/>
      <c r="AP22" s="169"/>
      <c r="AQ22" s="169"/>
      <c r="AR22" s="188"/>
      <c r="AS22" s="37">
        <v>7</v>
      </c>
      <c r="AT22" s="185"/>
      <c r="AU22" s="169"/>
      <c r="AV22" s="169"/>
      <c r="AW22" s="188"/>
      <c r="AX22" s="37">
        <v>7</v>
      </c>
      <c r="AY22" s="185"/>
      <c r="AZ22" s="169"/>
      <c r="BA22" s="169"/>
      <c r="BB22" s="188"/>
      <c r="BC22" s="37">
        <v>7</v>
      </c>
      <c r="BD22" s="185"/>
      <c r="BE22" s="169"/>
      <c r="BF22" s="169"/>
      <c r="BG22" s="188"/>
      <c r="BH22" s="37">
        <v>7</v>
      </c>
      <c r="BI22" s="185"/>
      <c r="BJ22" s="169"/>
      <c r="BK22" s="169"/>
      <c r="BL22" s="188"/>
      <c r="BM22" s="37">
        <v>7</v>
      </c>
      <c r="BN22" s="185"/>
      <c r="BO22" s="169"/>
      <c r="BP22" s="169"/>
      <c r="BQ22" s="188"/>
      <c r="BR22" s="37">
        <v>7</v>
      </c>
      <c r="BS22" s="185"/>
      <c r="BT22" s="169"/>
      <c r="BU22" s="169"/>
      <c r="BV22" s="188"/>
      <c r="BW22" s="37">
        <v>7</v>
      </c>
      <c r="BX22" s="185"/>
      <c r="BY22" s="169"/>
      <c r="BZ22" s="169"/>
      <c r="CA22" s="188"/>
      <c r="CB22" s="37">
        <v>7</v>
      </c>
      <c r="CC22" s="185"/>
      <c r="CD22" s="169"/>
      <c r="CE22" s="169"/>
      <c r="CF22" s="188"/>
      <c r="CG22" s="37"/>
      <c r="CH22" s="11"/>
      <c r="CI22" s="23"/>
      <c r="CJ22" s="23"/>
      <c r="CK22" s="38"/>
    </row>
    <row r="23" spans="1:89" ht="13.5" thickBot="1" x14ac:dyDescent="0.25">
      <c r="A23" s="75">
        <v>14</v>
      </c>
      <c r="B23" s="76">
        <f>CB4</f>
        <v>0</v>
      </c>
      <c r="C23" s="75">
        <v>14</v>
      </c>
      <c r="D23" s="74">
        <f t="shared" si="1"/>
        <v>68</v>
      </c>
      <c r="E23" s="74">
        <f t="shared" si="0"/>
        <v>69</v>
      </c>
      <c r="F23" s="74">
        <f t="shared" si="2"/>
        <v>67</v>
      </c>
      <c r="G23" s="74">
        <f t="shared" si="3"/>
        <v>68</v>
      </c>
      <c r="H23" s="74">
        <f t="shared" si="4"/>
        <v>69</v>
      </c>
      <c r="I23" s="77">
        <f>CB7</f>
        <v>130000</v>
      </c>
      <c r="J23" s="77">
        <f>CC10</f>
        <v>0</v>
      </c>
      <c r="K23" s="78">
        <f>CD10</f>
        <v>0</v>
      </c>
      <c r="L23" s="77"/>
      <c r="M23" s="77">
        <f>CE10</f>
        <v>0</v>
      </c>
      <c r="N23" s="175">
        <f t="shared" si="5"/>
        <v>70</v>
      </c>
      <c r="O23" s="39">
        <v>8</v>
      </c>
      <c r="P23" s="353" t="s">
        <v>262</v>
      </c>
      <c r="Q23" s="356">
        <f>VLOOKUP(P23,Apoio!C:E,2,0)</f>
        <v>220360</v>
      </c>
      <c r="R23" s="355">
        <v>220000</v>
      </c>
      <c r="S23" s="216">
        <v>5</v>
      </c>
      <c r="T23" s="39">
        <v>8</v>
      </c>
      <c r="U23" s="225"/>
      <c r="V23" s="332"/>
      <c r="W23" s="331"/>
      <c r="X23" s="216">
        <f t="shared" si="6"/>
        <v>5</v>
      </c>
      <c r="Y23" s="39">
        <v>8</v>
      </c>
      <c r="Z23" s="225"/>
      <c r="AA23" s="332"/>
      <c r="AB23" s="333"/>
      <c r="AC23" s="334"/>
      <c r="AD23" s="39">
        <v>8</v>
      </c>
      <c r="AE23" s="225"/>
      <c r="AF23" s="335"/>
      <c r="AG23" s="222"/>
      <c r="AH23" s="217"/>
      <c r="AI23" s="39">
        <v>8</v>
      </c>
      <c r="AJ23" s="185"/>
      <c r="AK23" s="169"/>
      <c r="AL23" s="169"/>
      <c r="AM23" s="188"/>
      <c r="AN23" s="39">
        <v>8</v>
      </c>
      <c r="AO23" s="185"/>
      <c r="AP23" s="169"/>
      <c r="AQ23" s="169"/>
      <c r="AR23" s="188"/>
      <c r="AS23" s="39">
        <v>8</v>
      </c>
      <c r="AT23" s="185"/>
      <c r="AU23" s="169"/>
      <c r="AV23" s="169"/>
      <c r="AW23" s="188"/>
      <c r="AX23" s="39">
        <v>8</v>
      </c>
      <c r="AY23" s="185"/>
      <c r="AZ23" s="169"/>
      <c r="BA23" s="169"/>
      <c r="BB23" s="188"/>
      <c r="BC23" s="39">
        <v>8</v>
      </c>
      <c r="BD23" s="185"/>
      <c r="BE23" s="169"/>
      <c r="BF23" s="169"/>
      <c r="BG23" s="188"/>
      <c r="BH23" s="39">
        <v>8</v>
      </c>
      <c r="BI23" s="185"/>
      <c r="BJ23" s="169"/>
      <c r="BK23" s="169"/>
      <c r="BL23" s="188"/>
      <c r="BM23" s="39">
        <v>8</v>
      </c>
      <c r="BN23" s="185"/>
      <c r="BO23" s="169"/>
      <c r="BP23" s="169"/>
      <c r="BQ23" s="188"/>
      <c r="BR23" s="39">
        <v>8</v>
      </c>
      <c r="BS23" s="185"/>
      <c r="BT23" s="169"/>
      <c r="BU23" s="169"/>
      <c r="BV23" s="188"/>
      <c r="BW23" s="39">
        <v>8</v>
      </c>
      <c r="BX23" s="185"/>
      <c r="BY23" s="169"/>
      <c r="BZ23" s="169"/>
      <c r="CA23" s="188"/>
      <c r="CB23" s="39">
        <v>8</v>
      </c>
      <c r="CC23" s="185"/>
      <c r="CD23" s="169"/>
      <c r="CE23" s="169"/>
      <c r="CF23" s="188"/>
      <c r="CG23" s="39"/>
      <c r="CH23" s="11"/>
      <c r="CI23" s="23"/>
      <c r="CJ23" s="23"/>
      <c r="CK23" s="38"/>
    </row>
    <row r="24" spans="1:89" ht="13.5" thickBot="1" x14ac:dyDescent="0.25">
      <c r="O24" s="37">
        <v>9</v>
      </c>
      <c r="P24" s="353" t="s">
        <v>263</v>
      </c>
      <c r="Q24" s="356">
        <f>VLOOKUP(P24,Apoio!C:E,2,0)</f>
        <v>221250</v>
      </c>
      <c r="R24" s="355">
        <v>220000</v>
      </c>
      <c r="S24" s="216">
        <v>5</v>
      </c>
      <c r="T24" s="39">
        <v>9</v>
      </c>
      <c r="U24" s="225"/>
      <c r="V24" s="332"/>
      <c r="W24" s="331"/>
      <c r="X24" s="216">
        <f t="shared" si="6"/>
        <v>5</v>
      </c>
      <c r="Y24" s="39">
        <v>9</v>
      </c>
      <c r="Z24" s="225"/>
      <c r="AA24" s="332"/>
      <c r="AB24" s="333"/>
      <c r="AC24" s="334"/>
      <c r="AD24" s="39">
        <v>9</v>
      </c>
      <c r="AE24" s="225"/>
      <c r="AF24" s="335"/>
      <c r="AG24" s="222"/>
      <c r="AH24" s="217"/>
      <c r="AI24" s="39">
        <v>9</v>
      </c>
      <c r="AJ24" s="185"/>
      <c r="AK24" s="169"/>
      <c r="AL24" s="169"/>
      <c r="AM24" s="188"/>
      <c r="AN24" s="39">
        <v>9</v>
      </c>
      <c r="AO24" s="185"/>
      <c r="AP24" s="169"/>
      <c r="AQ24" s="169"/>
      <c r="AR24" s="188"/>
      <c r="AS24" s="39">
        <v>9</v>
      </c>
      <c r="AT24" s="185"/>
      <c r="AU24" s="169"/>
      <c r="AV24" s="169"/>
      <c r="AW24" s="188"/>
      <c r="AX24" s="39">
        <v>9</v>
      </c>
      <c r="AY24" s="185"/>
      <c r="AZ24" s="169"/>
      <c r="BA24" s="169"/>
      <c r="BB24" s="188"/>
      <c r="BC24" s="39">
        <v>9</v>
      </c>
      <c r="BD24" s="185"/>
      <c r="BE24" s="169"/>
      <c r="BF24" s="169"/>
      <c r="BG24" s="188"/>
      <c r="BH24" s="39">
        <v>9</v>
      </c>
      <c r="BI24" s="185"/>
      <c r="BJ24" s="169"/>
      <c r="BK24" s="169"/>
      <c r="BL24" s="188"/>
      <c r="BM24" s="39">
        <v>9</v>
      </c>
      <c r="BN24" s="185"/>
      <c r="BO24" s="169"/>
      <c r="BP24" s="169"/>
      <c r="BQ24" s="188"/>
      <c r="BR24" s="39">
        <v>9</v>
      </c>
      <c r="BS24" s="185"/>
      <c r="BT24" s="169"/>
      <c r="BU24" s="169"/>
      <c r="BV24" s="188"/>
      <c r="BW24" s="39">
        <v>9</v>
      </c>
      <c r="BX24" s="185"/>
      <c r="BY24" s="169"/>
      <c r="BZ24" s="169"/>
      <c r="CA24" s="188"/>
      <c r="CB24" s="39">
        <v>9</v>
      </c>
      <c r="CC24" s="185"/>
      <c r="CD24" s="169"/>
      <c r="CE24" s="169"/>
      <c r="CF24" s="188"/>
      <c r="CG24" s="39"/>
      <c r="CH24" s="11"/>
      <c r="CI24" s="23"/>
      <c r="CJ24" s="23"/>
      <c r="CK24" s="38"/>
    </row>
    <row r="25" spans="1:89" ht="13.5" thickBot="1" x14ac:dyDescent="0.25">
      <c r="O25" s="39">
        <v>10</v>
      </c>
      <c r="P25" s="353" t="s">
        <v>264</v>
      </c>
      <c r="Q25" s="356">
        <f>VLOOKUP(P25,Apoio!C:E,2,0)</f>
        <v>221250</v>
      </c>
      <c r="R25" s="355">
        <v>220000</v>
      </c>
      <c r="S25" s="216">
        <v>5</v>
      </c>
      <c r="T25" s="37">
        <v>10</v>
      </c>
      <c r="U25" s="225"/>
      <c r="V25" s="332"/>
      <c r="W25" s="331"/>
      <c r="X25" s="216">
        <f t="shared" si="6"/>
        <v>5</v>
      </c>
      <c r="Y25" s="37">
        <v>10</v>
      </c>
      <c r="Z25" s="225"/>
      <c r="AA25" s="332"/>
      <c r="AB25" s="333"/>
      <c r="AC25" s="334"/>
      <c r="AD25" s="37">
        <v>10</v>
      </c>
      <c r="AE25" s="225"/>
      <c r="AF25" s="335"/>
      <c r="AG25" s="222"/>
      <c r="AH25" s="217"/>
      <c r="AI25" s="37">
        <v>10</v>
      </c>
      <c r="AJ25" s="185"/>
      <c r="AK25" s="169"/>
      <c r="AL25" s="169"/>
      <c r="AM25" s="188"/>
      <c r="AN25" s="37">
        <v>10</v>
      </c>
      <c r="AO25" s="185"/>
      <c r="AP25" s="169"/>
      <c r="AQ25" s="169"/>
      <c r="AR25" s="188"/>
      <c r="AS25" s="37">
        <v>10</v>
      </c>
      <c r="AT25" s="185"/>
      <c r="AU25" s="169"/>
      <c r="AV25" s="169"/>
      <c r="AW25" s="188"/>
      <c r="AX25" s="37">
        <v>10</v>
      </c>
      <c r="AY25" s="185"/>
      <c r="AZ25" s="169"/>
      <c r="BA25" s="169"/>
      <c r="BB25" s="188"/>
      <c r="BC25" s="37">
        <v>10</v>
      </c>
      <c r="BD25" s="185"/>
      <c r="BE25" s="169"/>
      <c r="BF25" s="169"/>
      <c r="BG25" s="188"/>
      <c r="BH25" s="37">
        <v>10</v>
      </c>
      <c r="BI25" s="185"/>
      <c r="BJ25" s="169"/>
      <c r="BK25" s="169"/>
      <c r="BL25" s="188"/>
      <c r="BM25" s="37">
        <v>10</v>
      </c>
      <c r="BN25" s="185"/>
      <c r="BO25" s="169"/>
      <c r="BP25" s="169"/>
      <c r="BQ25" s="188"/>
      <c r="BR25" s="37">
        <v>10</v>
      </c>
      <c r="BS25" s="185"/>
      <c r="BT25" s="169"/>
      <c r="BU25" s="169"/>
      <c r="BV25" s="188"/>
      <c r="BW25" s="37">
        <v>10</v>
      </c>
      <c r="BX25" s="185"/>
      <c r="BY25" s="169"/>
      <c r="BZ25" s="169"/>
      <c r="CA25" s="188"/>
      <c r="CB25" s="37">
        <v>10</v>
      </c>
      <c r="CC25" s="185"/>
      <c r="CD25" s="169"/>
      <c r="CE25" s="169"/>
      <c r="CF25" s="188"/>
      <c r="CG25" s="37"/>
      <c r="CH25" s="11"/>
      <c r="CI25" s="23"/>
      <c r="CJ25" s="23"/>
      <c r="CK25" s="38"/>
    </row>
    <row r="26" spans="1:89" ht="13.5" thickBot="1" x14ac:dyDescent="0.25">
      <c r="O26" s="37">
        <v>11</v>
      </c>
      <c r="P26" s="353" t="s">
        <v>265</v>
      </c>
      <c r="Q26" s="356">
        <f>VLOOKUP(P26,Apoio!C:E,2,0)</f>
        <v>220360</v>
      </c>
      <c r="R26" s="355">
        <v>220000</v>
      </c>
      <c r="S26" s="216">
        <v>5</v>
      </c>
      <c r="T26" s="37">
        <v>11</v>
      </c>
      <c r="U26" s="225"/>
      <c r="V26" s="332"/>
      <c r="W26" s="331"/>
      <c r="X26" s="216">
        <f t="shared" si="6"/>
        <v>5</v>
      </c>
      <c r="Y26" s="37">
        <v>11</v>
      </c>
      <c r="Z26" s="225"/>
      <c r="AA26" s="332"/>
      <c r="AB26" s="333"/>
      <c r="AC26" s="334"/>
      <c r="AD26" s="37">
        <v>11</v>
      </c>
      <c r="AE26" s="225"/>
      <c r="AF26" s="335"/>
      <c r="AG26" s="222"/>
      <c r="AH26" s="217"/>
      <c r="AI26" s="37">
        <v>11</v>
      </c>
      <c r="AJ26" s="185"/>
      <c r="AK26" s="169"/>
      <c r="AL26" s="169"/>
      <c r="AM26" s="188"/>
      <c r="AN26" s="37">
        <v>11</v>
      </c>
      <c r="AO26" s="185"/>
      <c r="AP26" s="169"/>
      <c r="AQ26" s="169"/>
      <c r="AR26" s="188"/>
      <c r="AS26" s="37">
        <v>11</v>
      </c>
      <c r="AT26" s="185"/>
      <c r="AU26" s="169"/>
      <c r="AV26" s="169"/>
      <c r="AW26" s="188"/>
      <c r="AX26" s="37">
        <v>11</v>
      </c>
      <c r="AY26" s="185"/>
      <c r="AZ26" s="169"/>
      <c r="BA26" s="169"/>
      <c r="BB26" s="188"/>
      <c r="BC26" s="37">
        <v>11</v>
      </c>
      <c r="BD26" s="185"/>
      <c r="BE26" s="169"/>
      <c r="BF26" s="169"/>
      <c r="BG26" s="188"/>
      <c r="BH26" s="37">
        <v>11</v>
      </c>
      <c r="BI26" s="185"/>
      <c r="BJ26" s="169"/>
      <c r="BK26" s="169"/>
      <c r="BL26" s="188"/>
      <c r="BM26" s="37">
        <v>11</v>
      </c>
      <c r="BN26" s="185"/>
      <c r="BO26" s="169"/>
      <c r="BP26" s="169"/>
      <c r="BQ26" s="188"/>
      <c r="BR26" s="37">
        <v>11</v>
      </c>
      <c r="BS26" s="185"/>
      <c r="BT26" s="169"/>
      <c r="BU26" s="169"/>
      <c r="BV26" s="188"/>
      <c r="BW26" s="37">
        <v>11</v>
      </c>
      <c r="BX26" s="185"/>
      <c r="BY26" s="169"/>
      <c r="BZ26" s="169"/>
      <c r="CA26" s="188"/>
      <c r="CB26" s="37">
        <v>11</v>
      </c>
      <c r="CC26" s="185"/>
      <c r="CD26" s="169"/>
      <c r="CE26" s="169"/>
      <c r="CF26" s="188"/>
      <c r="CG26" s="37"/>
      <c r="CH26" s="11"/>
      <c r="CI26" s="23"/>
      <c r="CJ26" s="23"/>
      <c r="CK26" s="38"/>
    </row>
    <row r="27" spans="1:89" ht="13.5" thickBot="1" x14ac:dyDescent="0.25">
      <c r="B27" s="4"/>
      <c r="O27" s="39">
        <v>12</v>
      </c>
      <c r="P27" s="353" t="s">
        <v>266</v>
      </c>
      <c r="Q27" s="356">
        <f>VLOOKUP(P27,Apoio!C:E,2,0)</f>
        <v>220360</v>
      </c>
      <c r="R27" s="355">
        <v>220000</v>
      </c>
      <c r="S27" s="216">
        <v>5</v>
      </c>
      <c r="T27" s="37">
        <v>12</v>
      </c>
      <c r="U27" s="185"/>
      <c r="V27" s="169"/>
      <c r="W27" s="169"/>
      <c r="X27" s="188"/>
      <c r="Y27" s="37">
        <v>12</v>
      </c>
      <c r="Z27" s="225"/>
      <c r="AA27" s="169"/>
      <c r="AB27" s="333"/>
      <c r="AC27" s="188"/>
      <c r="AD27" s="37">
        <v>12</v>
      </c>
      <c r="AE27" s="185"/>
      <c r="AF27" s="169"/>
      <c r="AG27" s="169"/>
      <c r="AH27" s="188"/>
      <c r="AI27" s="37">
        <v>12</v>
      </c>
      <c r="AJ27" s="185"/>
      <c r="AK27" s="169"/>
      <c r="AL27" s="169"/>
      <c r="AM27" s="188"/>
      <c r="AN27" s="37">
        <v>12</v>
      </c>
      <c r="AO27" s="185"/>
      <c r="AP27" s="169"/>
      <c r="AQ27" s="169"/>
      <c r="AR27" s="188"/>
      <c r="AS27" s="37">
        <v>12</v>
      </c>
      <c r="AT27" s="185"/>
      <c r="AU27" s="169"/>
      <c r="AV27" s="169"/>
      <c r="AW27" s="188"/>
      <c r="AX27" s="37">
        <v>12</v>
      </c>
      <c r="AY27" s="185"/>
      <c r="AZ27" s="169"/>
      <c r="BA27" s="169"/>
      <c r="BB27" s="188"/>
      <c r="BC27" s="37">
        <v>12</v>
      </c>
      <c r="BD27" s="185"/>
      <c r="BE27" s="169"/>
      <c r="BF27" s="169"/>
      <c r="BG27" s="188"/>
      <c r="BH27" s="37">
        <v>12</v>
      </c>
      <c r="BI27" s="185"/>
      <c r="BJ27" s="169"/>
      <c r="BK27" s="169"/>
      <c r="BL27" s="188"/>
      <c r="BM27" s="37">
        <v>12</v>
      </c>
      <c r="BN27" s="185"/>
      <c r="BO27" s="169"/>
      <c r="BP27" s="169"/>
      <c r="BQ27" s="188"/>
      <c r="BR27" s="37">
        <v>12</v>
      </c>
      <c r="BS27" s="185"/>
      <c r="BT27" s="169"/>
      <c r="BU27" s="169"/>
      <c r="BV27" s="188"/>
      <c r="BW27" s="37">
        <v>12</v>
      </c>
      <c r="BX27" s="185"/>
      <c r="BY27" s="169"/>
      <c r="BZ27" s="169"/>
      <c r="CA27" s="188"/>
      <c r="CB27" s="37">
        <v>12</v>
      </c>
      <c r="CC27" s="185"/>
      <c r="CD27" s="169"/>
      <c r="CE27" s="169"/>
      <c r="CF27" s="188"/>
      <c r="CG27" s="37"/>
      <c r="CH27" s="11"/>
      <c r="CI27" s="23"/>
      <c r="CJ27" s="23"/>
      <c r="CK27" s="38"/>
    </row>
    <row r="28" spans="1:89" ht="13.5" thickBot="1" x14ac:dyDescent="0.25">
      <c r="B28" s="4"/>
      <c r="O28" s="37">
        <v>13</v>
      </c>
      <c r="P28" s="353" t="s">
        <v>267</v>
      </c>
      <c r="Q28" s="356">
        <f>VLOOKUP(P28,Apoio!C:E,2,0)</f>
        <v>221250</v>
      </c>
      <c r="R28" s="355">
        <v>220000</v>
      </c>
      <c r="S28" s="216">
        <v>5</v>
      </c>
      <c r="T28" s="37">
        <v>13</v>
      </c>
      <c r="U28" s="185"/>
      <c r="V28" s="169"/>
      <c r="W28" s="169"/>
      <c r="X28" s="188"/>
      <c r="Y28" s="37">
        <v>13</v>
      </c>
      <c r="Z28" s="225"/>
      <c r="AA28" s="169"/>
      <c r="AB28" s="333"/>
      <c r="AC28" s="188"/>
      <c r="AD28" s="37">
        <v>13</v>
      </c>
      <c r="AE28" s="185"/>
      <c r="AF28" s="169"/>
      <c r="AG28" s="169"/>
      <c r="AH28" s="188"/>
      <c r="AI28" s="37">
        <v>13</v>
      </c>
      <c r="AJ28" s="185"/>
      <c r="AK28" s="169"/>
      <c r="AL28" s="169"/>
      <c r="AM28" s="188"/>
      <c r="AN28" s="37">
        <v>13</v>
      </c>
      <c r="AO28" s="185"/>
      <c r="AP28" s="169"/>
      <c r="AQ28" s="169"/>
      <c r="AR28" s="188"/>
      <c r="AS28" s="37">
        <v>13</v>
      </c>
      <c r="AT28" s="185"/>
      <c r="AU28" s="169"/>
      <c r="AV28" s="169"/>
      <c r="AW28" s="188"/>
      <c r="AX28" s="37">
        <v>13</v>
      </c>
      <c r="AY28" s="185"/>
      <c r="AZ28" s="169"/>
      <c r="BA28" s="169"/>
      <c r="BB28" s="188"/>
      <c r="BC28" s="37">
        <v>13</v>
      </c>
      <c r="BD28" s="185"/>
      <c r="BE28" s="169"/>
      <c r="BF28" s="169"/>
      <c r="BG28" s="188"/>
      <c r="BH28" s="37">
        <v>13</v>
      </c>
      <c r="BI28" s="185"/>
      <c r="BJ28" s="169"/>
      <c r="BK28" s="169"/>
      <c r="BL28" s="188"/>
      <c r="BM28" s="37">
        <v>13</v>
      </c>
      <c r="BN28" s="185"/>
      <c r="BO28" s="169"/>
      <c r="BP28" s="169"/>
      <c r="BQ28" s="188"/>
      <c r="BR28" s="37">
        <v>13</v>
      </c>
      <c r="BS28" s="185"/>
      <c r="BT28" s="169"/>
      <c r="BU28" s="169"/>
      <c r="BV28" s="188"/>
      <c r="BW28" s="37">
        <v>13</v>
      </c>
      <c r="BX28" s="185"/>
      <c r="BY28" s="169"/>
      <c r="BZ28" s="169"/>
      <c r="CA28" s="188"/>
      <c r="CB28" s="37">
        <v>13</v>
      </c>
      <c r="CC28" s="185"/>
      <c r="CD28" s="169"/>
      <c r="CE28" s="169"/>
      <c r="CF28" s="188"/>
      <c r="CG28" s="37"/>
      <c r="CH28" s="11"/>
      <c r="CI28" s="23"/>
      <c r="CJ28" s="23"/>
      <c r="CK28" s="38"/>
    </row>
    <row r="29" spans="1:89" ht="13.5" thickBot="1" x14ac:dyDescent="0.25">
      <c r="B29" s="4"/>
      <c r="O29" s="39">
        <v>14</v>
      </c>
      <c r="P29" s="353" t="s">
        <v>268</v>
      </c>
      <c r="Q29" s="356">
        <f>VLOOKUP(P29,Apoio!C:E,2,0)</f>
        <v>221250</v>
      </c>
      <c r="R29" s="355">
        <v>220000</v>
      </c>
      <c r="S29" s="216">
        <v>5</v>
      </c>
      <c r="T29" s="39">
        <v>14</v>
      </c>
      <c r="U29" s="185"/>
      <c r="V29" s="169"/>
      <c r="W29" s="169"/>
      <c r="X29" s="188"/>
      <c r="Y29" s="39">
        <v>14</v>
      </c>
      <c r="Z29" s="225"/>
      <c r="AA29" s="169"/>
      <c r="AB29" s="333"/>
      <c r="AC29" s="188"/>
      <c r="AD29" s="39">
        <v>14</v>
      </c>
      <c r="AE29" s="185"/>
      <c r="AF29" s="169"/>
      <c r="AG29" s="169"/>
      <c r="AH29" s="188"/>
      <c r="AI29" s="39">
        <v>14</v>
      </c>
      <c r="AJ29" s="185"/>
      <c r="AK29" s="169"/>
      <c r="AL29" s="169"/>
      <c r="AM29" s="188"/>
      <c r="AN29" s="39">
        <v>14</v>
      </c>
      <c r="AO29" s="185"/>
      <c r="AP29" s="169"/>
      <c r="AQ29" s="169"/>
      <c r="AR29" s="188"/>
      <c r="AS29" s="39">
        <v>14</v>
      </c>
      <c r="AT29" s="185"/>
      <c r="AU29" s="169"/>
      <c r="AV29" s="169"/>
      <c r="AW29" s="188"/>
      <c r="AX29" s="39">
        <v>14</v>
      </c>
      <c r="AY29" s="185"/>
      <c r="AZ29" s="169"/>
      <c r="BA29" s="169"/>
      <c r="BB29" s="188"/>
      <c r="BC29" s="39">
        <v>14</v>
      </c>
      <c r="BD29" s="185"/>
      <c r="BE29" s="169"/>
      <c r="BF29" s="169"/>
      <c r="BG29" s="188"/>
      <c r="BH29" s="39">
        <v>14</v>
      </c>
      <c r="BI29" s="185"/>
      <c r="BJ29" s="169"/>
      <c r="BK29" s="169"/>
      <c r="BL29" s="188"/>
      <c r="BM29" s="39">
        <v>14</v>
      </c>
      <c r="BN29" s="185"/>
      <c r="BO29" s="169"/>
      <c r="BP29" s="169"/>
      <c r="BQ29" s="188"/>
      <c r="BR29" s="39">
        <v>14</v>
      </c>
      <c r="BS29" s="185"/>
      <c r="BT29" s="169"/>
      <c r="BU29" s="169"/>
      <c r="BV29" s="188"/>
      <c r="BW29" s="39">
        <v>14</v>
      </c>
      <c r="BX29" s="185"/>
      <c r="BY29" s="169"/>
      <c r="BZ29" s="169"/>
      <c r="CA29" s="188"/>
      <c r="CB29" s="39">
        <v>14</v>
      </c>
      <c r="CC29" s="185"/>
      <c r="CD29" s="169"/>
      <c r="CE29" s="169"/>
      <c r="CF29" s="188"/>
      <c r="CG29" s="39"/>
      <c r="CH29" s="11"/>
      <c r="CI29" s="23"/>
      <c r="CJ29" s="23"/>
      <c r="CK29" s="38"/>
    </row>
    <row r="30" spans="1:89" ht="13.5" thickBot="1" x14ac:dyDescent="0.25">
      <c r="O30" s="37">
        <v>15</v>
      </c>
      <c r="P30" s="353" t="s">
        <v>269</v>
      </c>
      <c r="Q30" s="356">
        <f>VLOOKUP(P30,Apoio!C:E,2,0)</f>
        <v>220360</v>
      </c>
      <c r="R30" s="355">
        <v>220000</v>
      </c>
      <c r="S30" s="216">
        <v>5</v>
      </c>
      <c r="T30" s="39">
        <v>15</v>
      </c>
      <c r="U30" s="185"/>
      <c r="V30" s="169"/>
      <c r="W30" s="169"/>
      <c r="X30" s="188"/>
      <c r="Y30" s="39">
        <v>15</v>
      </c>
      <c r="Z30" s="185"/>
      <c r="AA30" s="169"/>
      <c r="AB30" s="333"/>
      <c r="AC30" s="188"/>
      <c r="AD30" s="39">
        <v>15</v>
      </c>
      <c r="AE30" s="185"/>
      <c r="AF30" s="169"/>
      <c r="AG30" s="169"/>
      <c r="AH30" s="188"/>
      <c r="AI30" s="39">
        <v>15</v>
      </c>
      <c r="AJ30" s="185"/>
      <c r="AK30" s="169"/>
      <c r="AL30" s="169"/>
      <c r="AM30" s="188"/>
      <c r="AN30" s="39">
        <v>15</v>
      </c>
      <c r="AO30" s="185"/>
      <c r="AP30" s="169"/>
      <c r="AQ30" s="169"/>
      <c r="AR30" s="188"/>
      <c r="AS30" s="39">
        <v>15</v>
      </c>
      <c r="AT30" s="185"/>
      <c r="AU30" s="169"/>
      <c r="AV30" s="169"/>
      <c r="AW30" s="188"/>
      <c r="AX30" s="39">
        <v>15</v>
      </c>
      <c r="AY30" s="185"/>
      <c r="AZ30" s="169"/>
      <c r="BA30" s="169"/>
      <c r="BB30" s="188"/>
      <c r="BC30" s="39">
        <v>15</v>
      </c>
      <c r="BD30" s="185"/>
      <c r="BE30" s="169"/>
      <c r="BF30" s="169"/>
      <c r="BG30" s="188"/>
      <c r="BH30" s="39">
        <v>15</v>
      </c>
      <c r="BI30" s="185"/>
      <c r="BJ30" s="169"/>
      <c r="BK30" s="169"/>
      <c r="BL30" s="188"/>
      <c r="BM30" s="39">
        <v>15</v>
      </c>
      <c r="BN30" s="185"/>
      <c r="BO30" s="169"/>
      <c r="BP30" s="169"/>
      <c r="BQ30" s="188"/>
      <c r="BR30" s="39">
        <v>15</v>
      </c>
      <c r="BS30" s="185"/>
      <c r="BT30" s="169"/>
      <c r="BU30" s="169"/>
      <c r="BV30" s="188"/>
      <c r="BW30" s="39">
        <v>15</v>
      </c>
      <c r="BX30" s="185"/>
      <c r="BY30" s="169"/>
      <c r="BZ30" s="169"/>
      <c r="CA30" s="188"/>
      <c r="CB30" s="39">
        <v>15</v>
      </c>
      <c r="CC30" s="185"/>
      <c r="CD30" s="169"/>
      <c r="CE30" s="169"/>
      <c r="CF30" s="188"/>
      <c r="CG30" s="39"/>
      <c r="CH30" s="11"/>
      <c r="CI30" s="23"/>
      <c r="CJ30" s="23"/>
      <c r="CK30" s="38"/>
    </row>
    <row r="31" spans="1:89" ht="13.5" thickBot="1" x14ac:dyDescent="0.25">
      <c r="O31" s="39">
        <v>16</v>
      </c>
      <c r="P31" s="353" t="s">
        <v>270</v>
      </c>
      <c r="Q31" s="356">
        <f>VLOOKUP(P31,Apoio!C:E,2,0)</f>
        <v>220360</v>
      </c>
      <c r="R31" s="355">
        <v>220000</v>
      </c>
      <c r="S31" s="216">
        <v>5</v>
      </c>
      <c r="T31" s="37">
        <v>16</v>
      </c>
      <c r="U31" s="185"/>
      <c r="V31" s="169"/>
      <c r="W31" s="169"/>
      <c r="X31" s="188"/>
      <c r="Y31" s="37">
        <v>16</v>
      </c>
      <c r="Z31" s="185"/>
      <c r="AA31" s="169"/>
      <c r="AB31" s="333"/>
      <c r="AC31" s="188"/>
      <c r="AD31" s="37">
        <v>16</v>
      </c>
      <c r="AE31" s="185"/>
      <c r="AF31" s="169"/>
      <c r="AG31" s="169"/>
      <c r="AH31" s="188"/>
      <c r="AI31" s="37">
        <v>16</v>
      </c>
      <c r="AJ31" s="185"/>
      <c r="AK31" s="169"/>
      <c r="AL31" s="169"/>
      <c r="AM31" s="188"/>
      <c r="AN31" s="37">
        <v>16</v>
      </c>
      <c r="AO31" s="185"/>
      <c r="AP31" s="169"/>
      <c r="AQ31" s="169"/>
      <c r="AR31" s="188"/>
      <c r="AS31" s="37">
        <v>16</v>
      </c>
      <c r="AT31" s="185"/>
      <c r="AU31" s="169"/>
      <c r="AV31" s="169"/>
      <c r="AW31" s="188"/>
      <c r="AX31" s="37">
        <v>16</v>
      </c>
      <c r="AY31" s="185"/>
      <c r="AZ31" s="169"/>
      <c r="BA31" s="169"/>
      <c r="BB31" s="188"/>
      <c r="BC31" s="37">
        <v>16</v>
      </c>
      <c r="BD31" s="185"/>
      <c r="BE31" s="169"/>
      <c r="BF31" s="169"/>
      <c r="BG31" s="188"/>
      <c r="BH31" s="37">
        <v>16</v>
      </c>
      <c r="BI31" s="185"/>
      <c r="BJ31" s="169"/>
      <c r="BK31" s="169"/>
      <c r="BL31" s="188"/>
      <c r="BM31" s="37">
        <v>16</v>
      </c>
      <c r="BN31" s="185"/>
      <c r="BO31" s="169"/>
      <c r="BP31" s="169"/>
      <c r="BQ31" s="188"/>
      <c r="BR31" s="37">
        <v>16</v>
      </c>
      <c r="BS31" s="185"/>
      <c r="BT31" s="169"/>
      <c r="BU31" s="169"/>
      <c r="BV31" s="188"/>
      <c r="BW31" s="37">
        <v>16</v>
      </c>
      <c r="BX31" s="185"/>
      <c r="BY31" s="169"/>
      <c r="BZ31" s="169"/>
      <c r="CA31" s="188"/>
      <c r="CB31" s="37">
        <v>16</v>
      </c>
      <c r="CC31" s="185"/>
      <c r="CD31" s="169"/>
      <c r="CE31" s="169"/>
      <c r="CF31" s="188"/>
      <c r="CG31" s="37"/>
      <c r="CH31" s="11"/>
      <c r="CI31" s="23"/>
      <c r="CJ31" s="23"/>
      <c r="CK31" s="38"/>
    </row>
    <row r="32" spans="1:89" ht="13.5" thickBot="1" x14ac:dyDescent="0.25">
      <c r="D32" s="76" t="s">
        <v>133</v>
      </c>
      <c r="E32" s="64"/>
      <c r="O32" s="37">
        <v>17</v>
      </c>
      <c r="P32" s="353" t="s">
        <v>271</v>
      </c>
      <c r="Q32" s="356">
        <f>VLOOKUP(P32,Apoio!C:E,2,0)</f>
        <v>221250</v>
      </c>
      <c r="R32" s="355">
        <v>220000</v>
      </c>
      <c r="S32" s="216">
        <v>5</v>
      </c>
      <c r="T32" s="37">
        <v>17</v>
      </c>
      <c r="U32" s="185"/>
      <c r="V32" s="169"/>
      <c r="W32" s="169"/>
      <c r="X32" s="188"/>
      <c r="Y32" s="37">
        <v>17</v>
      </c>
      <c r="Z32" s="185"/>
      <c r="AA32" s="169"/>
      <c r="AB32" s="333"/>
      <c r="AC32" s="188"/>
      <c r="AD32" s="37">
        <v>17</v>
      </c>
      <c r="AE32" s="185"/>
      <c r="AF32" s="169"/>
      <c r="AG32" s="169"/>
      <c r="AH32" s="188"/>
      <c r="AI32" s="37">
        <v>17</v>
      </c>
      <c r="AJ32" s="185"/>
      <c r="AK32" s="169"/>
      <c r="AL32" s="169"/>
      <c r="AM32" s="188"/>
      <c r="AN32" s="37">
        <v>17</v>
      </c>
      <c r="AO32" s="185"/>
      <c r="AP32" s="169"/>
      <c r="AQ32" s="169"/>
      <c r="AR32" s="188"/>
      <c r="AS32" s="37">
        <v>17</v>
      </c>
      <c r="AT32" s="185"/>
      <c r="AU32" s="169"/>
      <c r="AV32" s="169"/>
      <c r="AW32" s="188"/>
      <c r="AX32" s="37">
        <v>17</v>
      </c>
      <c r="AY32" s="185"/>
      <c r="AZ32" s="169"/>
      <c r="BA32" s="169"/>
      <c r="BB32" s="188"/>
      <c r="BC32" s="37">
        <v>17</v>
      </c>
      <c r="BD32" s="185"/>
      <c r="BE32" s="169"/>
      <c r="BF32" s="169"/>
      <c r="BG32" s="188"/>
      <c r="BH32" s="37">
        <v>17</v>
      </c>
      <c r="BI32" s="185"/>
      <c r="BJ32" s="169"/>
      <c r="BK32" s="169"/>
      <c r="BL32" s="188"/>
      <c r="BM32" s="37">
        <v>17</v>
      </c>
      <c r="BN32" s="185"/>
      <c r="BO32" s="169"/>
      <c r="BP32" s="169"/>
      <c r="BQ32" s="188"/>
      <c r="BR32" s="37">
        <v>17</v>
      </c>
      <c r="BS32" s="185"/>
      <c r="BT32" s="169"/>
      <c r="BU32" s="169"/>
      <c r="BV32" s="188"/>
      <c r="BW32" s="37">
        <v>17</v>
      </c>
      <c r="BX32" s="185"/>
      <c r="BY32" s="169"/>
      <c r="BZ32" s="169"/>
      <c r="CA32" s="188"/>
      <c r="CB32" s="37">
        <v>17</v>
      </c>
      <c r="CC32" s="185"/>
      <c r="CD32" s="169"/>
      <c r="CE32" s="169"/>
      <c r="CF32" s="188"/>
      <c r="CG32" s="37"/>
      <c r="CH32" s="11"/>
      <c r="CI32" s="23"/>
      <c r="CJ32" s="23"/>
      <c r="CK32" s="38"/>
    </row>
    <row r="33" spans="4:89" ht="13.5" thickBot="1" x14ac:dyDescent="0.25">
      <c r="D33" s="81">
        <v>225000</v>
      </c>
      <c r="E33" s="65"/>
      <c r="O33" s="39">
        <v>18</v>
      </c>
      <c r="P33" s="353" t="s">
        <v>272</v>
      </c>
      <c r="Q33" s="356">
        <f>VLOOKUP(P33,Apoio!C:E,2,0)</f>
        <v>221250</v>
      </c>
      <c r="R33" s="355">
        <v>220000</v>
      </c>
      <c r="S33" s="216">
        <v>5</v>
      </c>
      <c r="T33" s="37">
        <v>18</v>
      </c>
      <c r="U33" s="185"/>
      <c r="V33" s="169"/>
      <c r="W33" s="169"/>
      <c r="X33" s="188"/>
      <c r="Y33" s="37">
        <v>18</v>
      </c>
      <c r="Z33" s="185"/>
      <c r="AA33" s="169"/>
      <c r="AB33" s="333"/>
      <c r="AC33" s="188"/>
      <c r="AD33" s="37">
        <v>18</v>
      </c>
      <c r="AE33" s="185"/>
      <c r="AF33" s="169"/>
      <c r="AG33" s="169"/>
      <c r="AH33" s="188"/>
      <c r="AI33" s="37">
        <v>18</v>
      </c>
      <c r="AJ33" s="185"/>
      <c r="AK33" s="169"/>
      <c r="AL33" s="169"/>
      <c r="AM33" s="188"/>
      <c r="AN33" s="37">
        <v>18</v>
      </c>
      <c r="AO33" s="185"/>
      <c r="AP33" s="169"/>
      <c r="AQ33" s="169"/>
      <c r="AR33" s="188"/>
      <c r="AS33" s="37">
        <v>18</v>
      </c>
      <c r="AT33" s="185"/>
      <c r="AU33" s="169"/>
      <c r="AV33" s="169"/>
      <c r="AW33" s="188"/>
      <c r="AX33" s="37">
        <v>18</v>
      </c>
      <c r="AY33" s="185"/>
      <c r="AZ33" s="169"/>
      <c r="BA33" s="169"/>
      <c r="BB33" s="188"/>
      <c r="BC33" s="37">
        <v>18</v>
      </c>
      <c r="BD33" s="185"/>
      <c r="BE33" s="169"/>
      <c r="BF33" s="169"/>
      <c r="BG33" s="188"/>
      <c r="BH33" s="37">
        <v>18</v>
      </c>
      <c r="BI33" s="185"/>
      <c r="BJ33" s="169"/>
      <c r="BK33" s="169"/>
      <c r="BL33" s="188"/>
      <c r="BM33" s="37">
        <v>18</v>
      </c>
      <c r="BN33" s="185"/>
      <c r="BO33" s="169"/>
      <c r="BP33" s="169"/>
      <c r="BQ33" s="188"/>
      <c r="BR33" s="37">
        <v>18</v>
      </c>
      <c r="BS33" s="185"/>
      <c r="BT33" s="169"/>
      <c r="BU33" s="169"/>
      <c r="BV33" s="188"/>
      <c r="BW33" s="37">
        <v>18</v>
      </c>
      <c r="BX33" s="185"/>
      <c r="BY33" s="169"/>
      <c r="BZ33" s="169"/>
      <c r="CA33" s="188"/>
      <c r="CB33" s="37">
        <v>18</v>
      </c>
      <c r="CC33" s="185"/>
      <c r="CD33" s="169"/>
      <c r="CE33" s="169"/>
      <c r="CF33" s="188"/>
      <c r="CG33" s="37"/>
      <c r="CH33" s="11"/>
      <c r="CI33" s="23"/>
      <c r="CJ33" s="23"/>
      <c r="CK33" s="38"/>
    </row>
    <row r="34" spans="4:89" ht="13.5" thickBot="1" x14ac:dyDescent="0.25">
      <c r="D34" s="81">
        <v>250000</v>
      </c>
      <c r="E34" s="65"/>
      <c r="O34" s="37">
        <v>19</v>
      </c>
      <c r="P34" s="353" t="s">
        <v>273</v>
      </c>
      <c r="Q34" s="356">
        <f>VLOOKUP(P34,Apoio!C:E,2,0)</f>
        <v>220360</v>
      </c>
      <c r="R34" s="355">
        <v>220000</v>
      </c>
      <c r="S34" s="216">
        <v>5</v>
      </c>
      <c r="T34" s="37">
        <v>19</v>
      </c>
      <c r="U34" s="185"/>
      <c r="V34" s="169"/>
      <c r="W34" s="169"/>
      <c r="X34" s="188"/>
      <c r="Y34" s="37">
        <v>19</v>
      </c>
      <c r="Z34" s="185"/>
      <c r="AA34" s="169"/>
      <c r="AB34" s="333"/>
      <c r="AC34" s="188"/>
      <c r="AD34" s="37">
        <v>19</v>
      </c>
      <c r="AE34" s="185"/>
      <c r="AF34" s="169"/>
      <c r="AG34" s="169"/>
      <c r="AH34" s="188"/>
      <c r="AI34" s="37">
        <v>19</v>
      </c>
      <c r="AJ34" s="185"/>
      <c r="AK34" s="169"/>
      <c r="AL34" s="169"/>
      <c r="AM34" s="188"/>
      <c r="AN34" s="37">
        <v>19</v>
      </c>
      <c r="AO34" s="185"/>
      <c r="AP34" s="169"/>
      <c r="AQ34" s="169"/>
      <c r="AR34" s="188"/>
      <c r="AS34" s="37">
        <v>19</v>
      </c>
      <c r="AT34" s="185"/>
      <c r="AU34" s="169"/>
      <c r="AV34" s="169"/>
      <c r="AW34" s="188"/>
      <c r="AX34" s="37">
        <v>19</v>
      </c>
      <c r="AY34" s="185"/>
      <c r="AZ34" s="169"/>
      <c r="BA34" s="169"/>
      <c r="BB34" s="188"/>
      <c r="BC34" s="37">
        <v>19</v>
      </c>
      <c r="BD34" s="185"/>
      <c r="BE34" s="169"/>
      <c r="BF34" s="169"/>
      <c r="BG34" s="188"/>
      <c r="BH34" s="37">
        <v>19</v>
      </c>
      <c r="BI34" s="185"/>
      <c r="BJ34" s="169"/>
      <c r="BK34" s="169"/>
      <c r="BL34" s="188"/>
      <c r="BM34" s="37">
        <v>19</v>
      </c>
      <c r="BN34" s="185"/>
      <c r="BO34" s="169"/>
      <c r="BP34" s="169"/>
      <c r="BQ34" s="188"/>
      <c r="BR34" s="37">
        <v>19</v>
      </c>
      <c r="BS34" s="185"/>
      <c r="BT34" s="169"/>
      <c r="BU34" s="169"/>
      <c r="BV34" s="188"/>
      <c r="BW34" s="37">
        <v>19</v>
      </c>
      <c r="BX34" s="185"/>
      <c r="BY34" s="169"/>
      <c r="BZ34" s="169"/>
      <c r="CA34" s="188"/>
      <c r="CB34" s="37">
        <v>19</v>
      </c>
      <c r="CC34" s="185"/>
      <c r="CD34" s="169"/>
      <c r="CE34" s="169"/>
      <c r="CF34" s="188"/>
      <c r="CG34" s="37"/>
      <c r="CH34" s="11"/>
      <c r="CI34" s="23"/>
      <c r="CJ34" s="23"/>
      <c r="CK34" s="38"/>
    </row>
    <row r="35" spans="4:89" ht="13.5" thickBot="1" x14ac:dyDescent="0.25">
      <c r="O35" s="39">
        <v>20</v>
      </c>
      <c r="P35" s="353" t="s">
        <v>274</v>
      </c>
      <c r="Q35" s="356">
        <f>VLOOKUP(P35,Apoio!C:E,2,0)</f>
        <v>220360</v>
      </c>
      <c r="R35" s="355">
        <v>220000</v>
      </c>
      <c r="S35" s="216">
        <v>5</v>
      </c>
      <c r="T35" s="39">
        <v>20</v>
      </c>
      <c r="U35" s="185"/>
      <c r="V35" s="169"/>
      <c r="W35" s="169"/>
      <c r="X35" s="188"/>
      <c r="Y35" s="39">
        <v>20</v>
      </c>
      <c r="Z35" s="185"/>
      <c r="AA35" s="169"/>
      <c r="AB35" s="333"/>
      <c r="AC35" s="188"/>
      <c r="AD35" s="39">
        <v>20</v>
      </c>
      <c r="AE35" s="185"/>
      <c r="AF35" s="169"/>
      <c r="AG35" s="169"/>
      <c r="AH35" s="188"/>
      <c r="AI35" s="39">
        <v>20</v>
      </c>
      <c r="AJ35" s="185"/>
      <c r="AK35" s="169"/>
      <c r="AL35" s="169"/>
      <c r="AM35" s="188"/>
      <c r="AN35" s="39">
        <v>20</v>
      </c>
      <c r="AO35" s="185"/>
      <c r="AP35" s="169"/>
      <c r="AQ35" s="169"/>
      <c r="AR35" s="188"/>
      <c r="AS35" s="39">
        <v>20</v>
      </c>
      <c r="AT35" s="185"/>
      <c r="AU35" s="169"/>
      <c r="AV35" s="169"/>
      <c r="AW35" s="188"/>
      <c r="AX35" s="39">
        <v>20</v>
      </c>
      <c r="AY35" s="185"/>
      <c r="AZ35" s="169"/>
      <c r="BA35" s="169"/>
      <c r="BB35" s="188"/>
      <c r="BC35" s="39">
        <v>20</v>
      </c>
      <c r="BD35" s="185"/>
      <c r="BE35" s="169"/>
      <c r="BF35" s="169"/>
      <c r="BG35" s="188"/>
      <c r="BH35" s="39">
        <v>20</v>
      </c>
      <c r="BI35" s="185"/>
      <c r="BJ35" s="169"/>
      <c r="BK35" s="169"/>
      <c r="BL35" s="188"/>
      <c r="BM35" s="39">
        <v>20</v>
      </c>
      <c r="BN35" s="185"/>
      <c r="BO35" s="169"/>
      <c r="BP35" s="169"/>
      <c r="BQ35" s="188"/>
      <c r="BR35" s="39">
        <v>20</v>
      </c>
      <c r="BS35" s="185"/>
      <c r="BT35" s="169"/>
      <c r="BU35" s="169"/>
      <c r="BV35" s="188"/>
      <c r="BW35" s="39">
        <v>20</v>
      </c>
      <c r="BX35" s="185"/>
      <c r="BY35" s="169"/>
      <c r="BZ35" s="169"/>
      <c r="CA35" s="188"/>
      <c r="CB35" s="39">
        <v>20</v>
      </c>
      <c r="CC35" s="185"/>
      <c r="CD35" s="169"/>
      <c r="CE35" s="169"/>
      <c r="CF35" s="188"/>
      <c r="CG35" s="39"/>
      <c r="CH35" s="11"/>
      <c r="CI35" s="23"/>
      <c r="CJ35" s="23"/>
      <c r="CK35" s="38"/>
    </row>
    <row r="36" spans="4:89" ht="13.5" thickBot="1" x14ac:dyDescent="0.25">
      <c r="O36" s="37">
        <v>21</v>
      </c>
      <c r="P36" s="353" t="s">
        <v>275</v>
      </c>
      <c r="Q36" s="356">
        <f>VLOOKUP(P36,Apoio!C:E,2,0)</f>
        <v>221250</v>
      </c>
      <c r="R36" s="355">
        <v>220000</v>
      </c>
      <c r="S36" s="216">
        <v>5</v>
      </c>
      <c r="T36" s="39">
        <v>21</v>
      </c>
      <c r="U36" s="185"/>
      <c r="V36" s="169"/>
      <c r="W36" s="169"/>
      <c r="X36" s="188"/>
      <c r="Y36" s="39">
        <v>21</v>
      </c>
      <c r="Z36" s="185"/>
      <c r="AA36" s="169"/>
      <c r="AB36" s="333"/>
      <c r="AC36" s="188"/>
      <c r="AD36" s="39">
        <v>21</v>
      </c>
      <c r="AE36" s="185"/>
      <c r="AF36" s="169"/>
      <c r="AG36" s="169"/>
      <c r="AH36" s="188"/>
      <c r="AI36" s="39">
        <v>21</v>
      </c>
      <c r="AJ36" s="185"/>
      <c r="AK36" s="169"/>
      <c r="AL36" s="169"/>
      <c r="AM36" s="188"/>
      <c r="AN36" s="39">
        <v>21</v>
      </c>
      <c r="AO36" s="185"/>
      <c r="AP36" s="169"/>
      <c r="AQ36" s="169"/>
      <c r="AR36" s="188"/>
      <c r="AS36" s="39">
        <v>21</v>
      </c>
      <c r="AT36" s="185"/>
      <c r="AU36" s="169"/>
      <c r="AV36" s="169"/>
      <c r="AW36" s="188"/>
      <c r="AX36" s="39">
        <v>21</v>
      </c>
      <c r="AY36" s="185"/>
      <c r="AZ36" s="169"/>
      <c r="BA36" s="169"/>
      <c r="BB36" s="188"/>
      <c r="BC36" s="39">
        <v>21</v>
      </c>
      <c r="BD36" s="185"/>
      <c r="BE36" s="169"/>
      <c r="BF36" s="169"/>
      <c r="BG36" s="188"/>
      <c r="BH36" s="39">
        <v>21</v>
      </c>
      <c r="BI36" s="185"/>
      <c r="BJ36" s="169"/>
      <c r="BK36" s="169"/>
      <c r="BL36" s="188"/>
      <c r="BM36" s="39">
        <v>21</v>
      </c>
      <c r="BN36" s="185"/>
      <c r="BO36" s="169"/>
      <c r="BP36" s="169"/>
      <c r="BQ36" s="188"/>
      <c r="BR36" s="39">
        <v>21</v>
      </c>
      <c r="BS36" s="185"/>
      <c r="BT36" s="169"/>
      <c r="BU36" s="169"/>
      <c r="BV36" s="188"/>
      <c r="BW36" s="39">
        <v>21</v>
      </c>
      <c r="BX36" s="185"/>
      <c r="BY36" s="169"/>
      <c r="BZ36" s="169"/>
      <c r="CA36" s="188"/>
      <c r="CB36" s="39">
        <v>21</v>
      </c>
      <c r="CC36" s="185"/>
      <c r="CD36" s="169"/>
      <c r="CE36" s="169"/>
      <c r="CF36" s="188"/>
      <c r="CG36" s="39"/>
      <c r="CH36" s="11"/>
      <c r="CI36" s="23"/>
      <c r="CJ36" s="23"/>
      <c r="CK36" s="38"/>
    </row>
    <row r="37" spans="4:89" ht="13.5" thickBot="1" x14ac:dyDescent="0.25">
      <c r="O37" s="39">
        <v>22</v>
      </c>
      <c r="P37" s="353" t="s">
        <v>276</v>
      </c>
      <c r="Q37" s="356">
        <f>VLOOKUP(P37,Apoio!C:E,2,0)</f>
        <v>221250</v>
      </c>
      <c r="R37" s="355">
        <v>220000</v>
      </c>
      <c r="S37" s="216">
        <v>5</v>
      </c>
      <c r="T37" s="180">
        <v>22</v>
      </c>
      <c r="U37" s="187"/>
      <c r="V37" s="181"/>
      <c r="W37" s="181"/>
      <c r="X37" s="191"/>
      <c r="Y37" s="180">
        <v>22</v>
      </c>
      <c r="Z37" s="187"/>
      <c r="AA37" s="181"/>
      <c r="AB37" s="333"/>
      <c r="AC37" s="191"/>
      <c r="AD37" s="180">
        <v>22</v>
      </c>
      <c r="AE37" s="187"/>
      <c r="AF37" s="181"/>
      <c r="AG37" s="181"/>
      <c r="AH37" s="191"/>
      <c r="AI37" s="180">
        <v>22</v>
      </c>
      <c r="AJ37" s="187"/>
      <c r="AK37" s="181"/>
      <c r="AL37" s="181"/>
      <c r="AM37" s="191"/>
      <c r="AN37" s="180">
        <v>22</v>
      </c>
      <c r="AO37" s="187"/>
      <c r="AP37" s="181"/>
      <c r="AQ37" s="181"/>
      <c r="AR37" s="191"/>
      <c r="AS37" s="180">
        <v>22</v>
      </c>
      <c r="AT37" s="187"/>
      <c r="AU37" s="181"/>
      <c r="AV37" s="181"/>
      <c r="AW37" s="191"/>
      <c r="AX37" s="180">
        <v>22</v>
      </c>
      <c r="AY37" s="187"/>
      <c r="AZ37" s="181"/>
      <c r="BA37" s="181"/>
      <c r="BB37" s="191"/>
      <c r="BC37" s="180">
        <v>22</v>
      </c>
      <c r="BD37" s="187"/>
      <c r="BE37" s="181"/>
      <c r="BF37" s="181"/>
      <c r="BG37" s="191"/>
      <c r="BH37" s="180">
        <v>22</v>
      </c>
      <c r="BI37" s="187"/>
      <c r="BJ37" s="181"/>
      <c r="BK37" s="181"/>
      <c r="BL37" s="191"/>
      <c r="BM37" s="180">
        <v>22</v>
      </c>
      <c r="BN37" s="187"/>
      <c r="BO37" s="181"/>
      <c r="BP37" s="181"/>
      <c r="BQ37" s="191"/>
      <c r="BR37" s="180">
        <v>22</v>
      </c>
      <c r="BS37" s="187"/>
      <c r="BT37" s="181"/>
      <c r="BU37" s="181"/>
      <c r="BV37" s="191"/>
      <c r="BW37" s="180">
        <v>22</v>
      </c>
      <c r="BX37" s="187"/>
      <c r="BY37" s="181"/>
      <c r="BZ37" s="181"/>
      <c r="CA37" s="191"/>
      <c r="CB37" s="180">
        <v>22</v>
      </c>
      <c r="CC37" s="187"/>
      <c r="CD37" s="181"/>
      <c r="CE37" s="181"/>
      <c r="CF37" s="191"/>
      <c r="CG37" s="37"/>
      <c r="CH37" s="11"/>
      <c r="CI37" s="23"/>
      <c r="CJ37" s="23"/>
      <c r="CK37" s="38"/>
    </row>
    <row r="38" spans="4:89" ht="12.75" customHeight="1" thickBot="1" x14ac:dyDescent="0.25">
      <c r="O38" s="37">
        <v>23</v>
      </c>
      <c r="P38" s="353" t="s">
        <v>277</v>
      </c>
      <c r="Q38" s="356">
        <f>VLOOKUP(P38,Apoio!C:E,2,0)</f>
        <v>220360</v>
      </c>
      <c r="R38" s="355">
        <v>220000</v>
      </c>
      <c r="S38" s="216">
        <v>5</v>
      </c>
      <c r="T38" s="42"/>
      <c r="U38" s="33"/>
      <c r="V38" s="33"/>
      <c r="W38" s="34"/>
      <c r="Y38" s="42"/>
      <c r="Z38" s="33"/>
      <c r="AA38" s="33"/>
      <c r="AB38" s="34"/>
      <c r="AD38" s="42"/>
      <c r="AE38" s="33"/>
      <c r="AF38" s="33"/>
      <c r="AG38" s="34"/>
      <c r="AI38" s="42"/>
      <c r="AJ38" s="33"/>
      <c r="AK38" s="33"/>
      <c r="AL38" s="34"/>
      <c r="AN38" s="42"/>
      <c r="AO38" s="33"/>
      <c r="AP38" s="33"/>
      <c r="AQ38" s="34"/>
      <c r="AS38" s="42"/>
      <c r="AT38" s="33"/>
      <c r="AU38" s="33"/>
      <c r="AV38" s="34"/>
      <c r="AX38" s="42"/>
      <c r="AY38" s="33"/>
      <c r="AZ38" s="33"/>
      <c r="BA38" s="34"/>
      <c r="BC38" s="42"/>
      <c r="BD38" s="33"/>
      <c r="BE38" s="33"/>
      <c r="BF38" s="34"/>
      <c r="BH38" s="42"/>
      <c r="BI38" s="33"/>
      <c r="BJ38" s="33"/>
      <c r="BK38" s="34"/>
      <c r="BM38" s="42"/>
      <c r="BN38" s="33"/>
      <c r="BO38" s="33"/>
      <c r="BP38" s="34"/>
      <c r="BR38" s="42"/>
      <c r="BS38" s="33"/>
      <c r="BT38" s="33"/>
      <c r="BU38" s="34"/>
      <c r="BW38" s="42"/>
      <c r="BX38" s="33"/>
      <c r="BY38" s="33"/>
      <c r="BZ38" s="34"/>
      <c r="CB38" s="42"/>
      <c r="CC38" s="33"/>
      <c r="CD38" s="33"/>
      <c r="CE38" s="34"/>
      <c r="CG38" s="42"/>
      <c r="CH38" s="33"/>
      <c r="CI38" s="33"/>
      <c r="CJ38" s="34"/>
    </row>
    <row r="39" spans="4:89" ht="12.75" customHeight="1" thickBot="1" x14ac:dyDescent="0.25">
      <c r="O39" s="39">
        <v>24</v>
      </c>
      <c r="P39" s="353" t="s">
        <v>278</v>
      </c>
      <c r="Q39" s="356">
        <f>VLOOKUP(P39,Apoio!C:E,2,0)</f>
        <v>221610</v>
      </c>
      <c r="R39" s="355">
        <v>220000</v>
      </c>
      <c r="S39" s="216">
        <v>5</v>
      </c>
      <c r="T39" s="31"/>
      <c r="U39" s="33"/>
      <c r="V39" s="33"/>
      <c r="W39" s="34"/>
      <c r="Y39" s="31"/>
      <c r="Z39" s="33"/>
      <c r="AA39" s="33"/>
      <c r="AB39" s="34"/>
      <c r="AD39" s="31"/>
      <c r="AE39" s="33"/>
      <c r="AF39" s="33"/>
      <c r="AG39" s="34"/>
      <c r="AI39" s="31"/>
      <c r="AJ39" s="33"/>
      <c r="AK39" s="33"/>
      <c r="AL39" s="34"/>
      <c r="AN39" s="31"/>
      <c r="AO39" s="33"/>
      <c r="AP39" s="33"/>
      <c r="AQ39" s="34"/>
      <c r="AS39" s="31"/>
      <c r="AT39" s="33"/>
      <c r="AU39" s="33"/>
      <c r="AV39" s="34"/>
      <c r="AX39" s="31"/>
      <c r="AY39" s="33"/>
      <c r="AZ39" s="33"/>
      <c r="BA39" s="34"/>
      <c r="BC39" s="31"/>
      <c r="BD39" s="33"/>
      <c r="BE39" s="33"/>
      <c r="BF39" s="34"/>
      <c r="BH39" s="31"/>
      <c r="BI39" s="33"/>
      <c r="BJ39" s="33"/>
      <c r="BK39" s="34"/>
      <c r="BM39" s="31"/>
      <c r="BN39" s="33"/>
      <c r="BO39" s="33"/>
      <c r="BP39" s="34"/>
      <c r="BR39" s="31"/>
      <c r="BS39" s="33"/>
      <c r="BT39" s="33"/>
      <c r="BU39" s="34"/>
      <c r="BW39" s="31"/>
      <c r="BX39" s="33"/>
      <c r="BY39" s="33"/>
      <c r="BZ39" s="34"/>
      <c r="CB39" s="31"/>
      <c r="CC39" s="33"/>
      <c r="CD39" s="33"/>
      <c r="CE39" s="34"/>
      <c r="CG39" s="31"/>
      <c r="CH39" s="33"/>
      <c r="CI39" s="33"/>
      <c r="CJ39" s="34"/>
    </row>
    <row r="40" spans="4:89" ht="12.75" customHeight="1" thickBot="1" x14ac:dyDescent="0.25">
      <c r="O40" s="37">
        <v>25</v>
      </c>
      <c r="P40" s="353" t="s">
        <v>279</v>
      </c>
      <c r="Q40" s="356">
        <f>VLOOKUP(P40,Apoio!C:E,2,0)</f>
        <v>222500</v>
      </c>
      <c r="R40" s="355">
        <v>220000</v>
      </c>
      <c r="S40" s="216">
        <v>5</v>
      </c>
      <c r="T40" s="43" t="s">
        <v>12</v>
      </c>
      <c r="U40" s="15"/>
      <c r="V40" s="29"/>
      <c r="W40" s="7"/>
      <c r="Y40" s="43" t="s">
        <v>12</v>
      </c>
      <c r="Z40" s="15"/>
      <c r="AA40" s="29"/>
      <c r="AB40" s="7"/>
      <c r="AD40" s="43" t="s">
        <v>12</v>
      </c>
      <c r="AE40" s="15" t="s">
        <v>53</v>
      </c>
      <c r="AF40" s="29" t="s">
        <v>10</v>
      </c>
      <c r="AG40" s="7" t="s">
        <v>11</v>
      </c>
      <c r="AI40" s="43" t="s">
        <v>12</v>
      </c>
      <c r="AJ40" s="15" t="s">
        <v>53</v>
      </c>
      <c r="AK40" s="29" t="s">
        <v>10</v>
      </c>
      <c r="AL40" s="7" t="s">
        <v>11</v>
      </c>
      <c r="AN40" s="43" t="s">
        <v>12</v>
      </c>
      <c r="AO40" s="15" t="s">
        <v>53</v>
      </c>
      <c r="AP40" s="29" t="s">
        <v>10</v>
      </c>
      <c r="AQ40" s="7" t="s">
        <v>11</v>
      </c>
      <c r="AS40" s="43" t="s">
        <v>12</v>
      </c>
      <c r="AT40" s="15" t="s">
        <v>53</v>
      </c>
      <c r="AU40" s="29" t="s">
        <v>10</v>
      </c>
      <c r="AV40" s="7" t="s">
        <v>11</v>
      </c>
      <c r="AX40" s="43" t="s">
        <v>12</v>
      </c>
      <c r="AY40" s="15" t="s">
        <v>53</v>
      </c>
      <c r="AZ40" s="29" t="s">
        <v>10</v>
      </c>
      <c r="BA40" s="7" t="s">
        <v>11</v>
      </c>
      <c r="BC40" s="43" t="s">
        <v>12</v>
      </c>
      <c r="BD40" s="15" t="s">
        <v>53</v>
      </c>
      <c r="BE40" s="29" t="s">
        <v>10</v>
      </c>
      <c r="BF40" s="7" t="s">
        <v>11</v>
      </c>
      <c r="BH40" s="43" t="s">
        <v>12</v>
      </c>
      <c r="BI40" s="15" t="s">
        <v>53</v>
      </c>
      <c r="BJ40" s="29" t="s">
        <v>10</v>
      </c>
      <c r="BK40" s="7" t="s">
        <v>11</v>
      </c>
      <c r="BM40" s="43" t="s">
        <v>12</v>
      </c>
      <c r="BN40" s="15" t="s">
        <v>53</v>
      </c>
      <c r="BO40" s="29" t="s">
        <v>10</v>
      </c>
      <c r="BP40" s="7" t="s">
        <v>11</v>
      </c>
      <c r="BR40" s="43" t="s">
        <v>12</v>
      </c>
      <c r="BS40" s="15" t="s">
        <v>53</v>
      </c>
      <c r="BT40" s="29" t="s">
        <v>10</v>
      </c>
      <c r="BU40" s="7" t="s">
        <v>11</v>
      </c>
      <c r="BW40" s="43" t="s">
        <v>12</v>
      </c>
      <c r="BX40" s="15" t="s">
        <v>53</v>
      </c>
      <c r="BY40" s="29" t="s">
        <v>10</v>
      </c>
      <c r="BZ40" s="7" t="s">
        <v>11</v>
      </c>
      <c r="CB40" s="43" t="s">
        <v>12</v>
      </c>
      <c r="CC40" s="15" t="s">
        <v>53</v>
      </c>
      <c r="CD40" s="29" t="s">
        <v>10</v>
      </c>
      <c r="CE40" s="7" t="s">
        <v>11</v>
      </c>
      <c r="CG40" s="43"/>
      <c r="CH40" s="15"/>
      <c r="CI40" s="29"/>
      <c r="CJ40" s="7"/>
    </row>
    <row r="41" spans="4:89" ht="12.75" customHeight="1" thickBot="1" x14ac:dyDescent="0.25">
      <c r="O41" s="39">
        <v>26</v>
      </c>
      <c r="P41" s="353" t="s">
        <v>280</v>
      </c>
      <c r="Q41" s="356">
        <f>VLOOKUP(P41,Apoio!C:E,2,0)</f>
        <v>222500</v>
      </c>
      <c r="R41" s="355">
        <v>220000</v>
      </c>
      <c r="S41" s="216">
        <v>5</v>
      </c>
      <c r="T41" s="45"/>
      <c r="U41" s="10"/>
      <c r="V41" s="3"/>
      <c r="W41" s="22"/>
      <c r="Y41" s="45"/>
      <c r="Z41" s="10"/>
      <c r="AA41" s="3"/>
      <c r="AB41" s="22"/>
      <c r="AD41" s="45"/>
      <c r="AE41" s="10"/>
      <c r="AF41" s="3"/>
      <c r="AG41" s="22"/>
      <c r="AI41" s="45"/>
      <c r="AJ41" s="10"/>
      <c r="AK41" s="3"/>
      <c r="AL41" s="22"/>
      <c r="AN41" s="45"/>
      <c r="AO41" s="10"/>
      <c r="AP41" s="3"/>
      <c r="AQ41" s="22"/>
      <c r="AS41" s="45"/>
      <c r="AT41" s="10"/>
      <c r="AU41" s="3"/>
      <c r="AV41" s="22"/>
      <c r="AX41" s="45"/>
      <c r="AY41" s="10"/>
      <c r="AZ41" s="3"/>
      <c r="BA41" s="22"/>
      <c r="BC41" s="45"/>
      <c r="BD41" s="10"/>
      <c r="BE41" s="3"/>
      <c r="BF41" s="22"/>
      <c r="BH41" s="45"/>
      <c r="BI41" s="10"/>
      <c r="BJ41" s="3"/>
      <c r="BK41" s="22"/>
      <c r="BM41" s="45"/>
      <c r="BN41" s="10"/>
      <c r="BO41" s="3"/>
      <c r="BP41" s="22"/>
      <c r="BR41" s="45"/>
      <c r="BS41" s="10"/>
      <c r="BT41" s="3"/>
      <c r="BU41" s="22"/>
      <c r="BW41" s="45"/>
      <c r="BX41" s="10"/>
      <c r="BY41" s="3"/>
      <c r="BZ41" s="22"/>
      <c r="CB41" s="45"/>
      <c r="CC41" s="10"/>
      <c r="CD41" s="3"/>
      <c r="CE41" s="22"/>
      <c r="CG41" s="45"/>
      <c r="CH41" s="10"/>
      <c r="CI41" s="3"/>
      <c r="CJ41" s="22"/>
    </row>
    <row r="42" spans="4:89" ht="12.75" customHeight="1" thickBot="1" x14ac:dyDescent="0.25">
      <c r="O42" s="37">
        <v>27</v>
      </c>
      <c r="P42" s="353" t="s">
        <v>281</v>
      </c>
      <c r="Q42" s="356">
        <f>VLOOKUP(P42,Apoio!C:E,2,0)</f>
        <v>221610</v>
      </c>
      <c r="R42" s="355">
        <v>220000</v>
      </c>
      <c r="S42" s="216">
        <v>5</v>
      </c>
      <c r="T42" s="46">
        <v>1</v>
      </c>
      <c r="U42" s="26"/>
      <c r="V42" s="8"/>
      <c r="W42" s="61"/>
      <c r="Y42" s="46">
        <v>1</v>
      </c>
      <c r="Z42" s="26"/>
      <c r="AA42" s="8"/>
      <c r="AB42" s="61"/>
      <c r="AD42" s="46">
        <v>1</v>
      </c>
      <c r="AE42" s="26">
        <v>39965</v>
      </c>
      <c r="AF42" s="8">
        <v>0</v>
      </c>
      <c r="AG42" s="61" t="e">
        <f>IF(AD42&lt;'DADOS DOS EMPREENDIMENTOS'!AF$11,0,IF(AD42='DADOS DOS EMPREENDIMENTOS'!AF$11,SUM(AF$41:AF42)*(1-'DADOS DOS EMPREENDIMENTOS'!#REF!-'DADOS DOS EMPREENDIMENTOS'!#REF!)+'DADOS DOS EMPREENDIMENTOS'!#REF!,IF(AD42='DADOS DOS EMPREENDIMENTOS'!#REF!,'DADOS DOS EMPREENDIMENTOS'!#REF!,AF42*(1-'DADOS DOS EMPREENDIMENTOS'!#REF!-'DADOS DOS EMPREENDIMENTOS'!#REF!))))</f>
        <v>#REF!</v>
      </c>
      <c r="AI42" s="46">
        <v>1</v>
      </c>
      <c r="AJ42" s="26">
        <v>39965</v>
      </c>
      <c r="AK42" s="8">
        <v>0</v>
      </c>
      <c r="AL42" s="61" t="e">
        <f>IF(AI42&lt;'DADOS DOS EMPREENDIMENTOS'!AK$11,0,IF(AI42='DADOS DOS EMPREENDIMENTOS'!AK$11,SUM(AK$41:AK42)*(1-'DADOS DOS EMPREENDIMENTOS'!#REF!-'DADOS DOS EMPREENDIMENTOS'!#REF!)+'DADOS DOS EMPREENDIMENTOS'!#REF!,IF(AI42='DADOS DOS EMPREENDIMENTOS'!#REF!,'DADOS DOS EMPREENDIMENTOS'!#REF!,AK42*(1-'DADOS DOS EMPREENDIMENTOS'!#REF!-'DADOS DOS EMPREENDIMENTOS'!#REF!))))</f>
        <v>#REF!</v>
      </c>
      <c r="AN42" s="46">
        <v>1</v>
      </c>
      <c r="AO42" s="26">
        <v>39965</v>
      </c>
      <c r="AP42" s="8">
        <v>0</v>
      </c>
      <c r="AQ42" s="61" t="e">
        <f>IF(AN42&lt;'DADOS DOS EMPREENDIMENTOS'!AP$11,0,IF(AN42='DADOS DOS EMPREENDIMENTOS'!AP$11,SUM(AP$41:AP42)*(1-'DADOS DOS EMPREENDIMENTOS'!#REF!-'DADOS DOS EMPREENDIMENTOS'!#REF!)+'DADOS DOS EMPREENDIMENTOS'!#REF!,IF(AN42='DADOS DOS EMPREENDIMENTOS'!#REF!,'DADOS DOS EMPREENDIMENTOS'!#REF!,AP42*(1-'DADOS DOS EMPREENDIMENTOS'!#REF!-'DADOS DOS EMPREENDIMENTOS'!#REF!))))</f>
        <v>#REF!</v>
      </c>
      <c r="AS42" s="46">
        <v>1</v>
      </c>
      <c r="AT42" s="26">
        <v>39965</v>
      </c>
      <c r="AU42" s="8">
        <v>0</v>
      </c>
      <c r="AV42" s="61" t="e">
        <f>IF(AS42&lt;'DADOS DOS EMPREENDIMENTOS'!AU$11,0,IF(AS42='DADOS DOS EMPREENDIMENTOS'!AU$11,SUM(AU$41:AU42)*(1-'DADOS DOS EMPREENDIMENTOS'!#REF!-'DADOS DOS EMPREENDIMENTOS'!#REF!)+'DADOS DOS EMPREENDIMENTOS'!#REF!,IF(AS42='DADOS DOS EMPREENDIMENTOS'!#REF!,'DADOS DOS EMPREENDIMENTOS'!#REF!,AU42*(1-'DADOS DOS EMPREENDIMENTOS'!#REF!-'DADOS DOS EMPREENDIMENTOS'!#REF!))))</f>
        <v>#REF!</v>
      </c>
      <c r="AX42" s="46">
        <v>1</v>
      </c>
      <c r="AY42" s="26">
        <v>39965</v>
      </c>
      <c r="AZ42" s="8">
        <v>0</v>
      </c>
      <c r="BA42" s="61" t="e">
        <f>IF(AX42&lt;'DADOS DOS EMPREENDIMENTOS'!AZ$11,0,IF(AX42='DADOS DOS EMPREENDIMENTOS'!AZ$11,SUM(AZ$41:AZ42)*(1-'DADOS DOS EMPREENDIMENTOS'!#REF!-'DADOS DOS EMPREENDIMENTOS'!#REF!)+'DADOS DOS EMPREENDIMENTOS'!#REF!,IF(AX42='DADOS DOS EMPREENDIMENTOS'!#REF!,'DADOS DOS EMPREENDIMENTOS'!#REF!,AZ42*(1-'DADOS DOS EMPREENDIMENTOS'!#REF!-'DADOS DOS EMPREENDIMENTOS'!#REF!))))</f>
        <v>#REF!</v>
      </c>
      <c r="BC42" s="46">
        <v>1</v>
      </c>
      <c r="BD42" s="26">
        <v>39965</v>
      </c>
      <c r="BE42" s="8">
        <v>0</v>
      </c>
      <c r="BF42" s="61" t="e">
        <f>IF(BC42&lt;'DADOS DOS EMPREENDIMENTOS'!BE$11,0,IF(BC42='DADOS DOS EMPREENDIMENTOS'!BE$11,SUM(BE$41:BE42)*(1-'DADOS DOS EMPREENDIMENTOS'!#REF!-'DADOS DOS EMPREENDIMENTOS'!#REF!)+'DADOS DOS EMPREENDIMENTOS'!#REF!,IF(BC42='DADOS DOS EMPREENDIMENTOS'!#REF!,'DADOS DOS EMPREENDIMENTOS'!#REF!,BE42*(1-'DADOS DOS EMPREENDIMENTOS'!#REF!-'DADOS DOS EMPREENDIMENTOS'!#REF!))))</f>
        <v>#REF!</v>
      </c>
      <c r="BH42" s="46">
        <v>1</v>
      </c>
      <c r="BI42" s="26">
        <v>39965</v>
      </c>
      <c r="BJ42" s="8">
        <v>0</v>
      </c>
      <c r="BK42" s="61" t="e">
        <f>IF(BH42&lt;'DADOS DOS EMPREENDIMENTOS'!BJ$11,0,IF(BH42='DADOS DOS EMPREENDIMENTOS'!BJ$11,SUM(BJ$41:BJ42)*(1-'DADOS DOS EMPREENDIMENTOS'!#REF!-'DADOS DOS EMPREENDIMENTOS'!#REF!)+'DADOS DOS EMPREENDIMENTOS'!#REF!,IF(BH42='DADOS DOS EMPREENDIMENTOS'!#REF!,'DADOS DOS EMPREENDIMENTOS'!#REF!,BJ42*(1-'DADOS DOS EMPREENDIMENTOS'!#REF!-'DADOS DOS EMPREENDIMENTOS'!#REF!))))</f>
        <v>#REF!</v>
      </c>
      <c r="BM42" s="46">
        <v>1</v>
      </c>
      <c r="BN42" s="26">
        <v>39965</v>
      </c>
      <c r="BO42" s="8">
        <v>0</v>
      </c>
      <c r="BP42" s="61" t="e">
        <f>IF(BM42&lt;'DADOS DOS EMPREENDIMENTOS'!BO$11,0,IF(BM42='DADOS DOS EMPREENDIMENTOS'!BO$11,SUM(BO$41:BO42)*(1-'DADOS DOS EMPREENDIMENTOS'!#REF!-'DADOS DOS EMPREENDIMENTOS'!#REF!)+'DADOS DOS EMPREENDIMENTOS'!#REF!,IF(BM42='DADOS DOS EMPREENDIMENTOS'!BO$12,'DADOS DOS EMPREENDIMENTOS'!#REF!,BO42*(1-'DADOS DOS EMPREENDIMENTOS'!#REF!-'DADOS DOS EMPREENDIMENTOS'!#REF!))))</f>
        <v>#REF!</v>
      </c>
      <c r="BR42" s="46">
        <v>1</v>
      </c>
      <c r="BS42" s="26">
        <v>39965</v>
      </c>
      <c r="BT42" s="8">
        <v>0</v>
      </c>
      <c r="BU42" s="61" t="e">
        <f>IF(BR42&lt;'DADOS DOS EMPREENDIMENTOS'!BT$11,0,IF(BR42='DADOS DOS EMPREENDIMENTOS'!BT$11,SUM(BT$41:BT42)*(1-'DADOS DOS EMPREENDIMENTOS'!#REF!-'DADOS DOS EMPREENDIMENTOS'!#REF!)+'DADOS DOS EMPREENDIMENTOS'!#REF!,IF(BR42='DADOS DOS EMPREENDIMENTOS'!BT$12,'DADOS DOS EMPREENDIMENTOS'!#REF!,BT42*(1-'DADOS DOS EMPREENDIMENTOS'!#REF!-'DADOS DOS EMPREENDIMENTOS'!#REF!))))</f>
        <v>#REF!</v>
      </c>
      <c r="BW42" s="46">
        <v>1</v>
      </c>
      <c r="BX42" s="26">
        <v>39965</v>
      </c>
      <c r="BY42" s="8">
        <v>0</v>
      </c>
      <c r="BZ42" s="61" t="e">
        <f>IF(BW42&lt;'DADOS DOS EMPREENDIMENTOS'!BY$11,0,IF(BW42='DADOS DOS EMPREENDIMENTOS'!BY$11,SUM(BY$41:BY42)*(1-'DADOS DOS EMPREENDIMENTOS'!#REF!-'DADOS DOS EMPREENDIMENTOS'!#REF!)+'DADOS DOS EMPREENDIMENTOS'!#REF!,IF(BW42='DADOS DOS EMPREENDIMENTOS'!BY$12,'DADOS DOS EMPREENDIMENTOS'!#REF!,BY42*(1-'DADOS DOS EMPREENDIMENTOS'!#REF!-'DADOS DOS EMPREENDIMENTOS'!#REF!))))</f>
        <v>#REF!</v>
      </c>
      <c r="CB42" s="46">
        <v>1</v>
      </c>
      <c r="CC42" s="26">
        <v>39965</v>
      </c>
      <c r="CD42" s="8">
        <v>0</v>
      </c>
      <c r="CE42" s="61" t="e">
        <f>IF(CB42&lt;'DADOS DOS EMPREENDIMENTOS'!CD$11,0,IF(CB42='DADOS DOS EMPREENDIMENTOS'!CD$11,SUM(CD$41:CD42)*(1-'DADOS DOS EMPREENDIMENTOS'!#REF!-'DADOS DOS EMPREENDIMENTOS'!#REF!)+'DADOS DOS EMPREENDIMENTOS'!#REF!,IF(CB42='DADOS DOS EMPREENDIMENTOS'!CD$12,'DADOS DOS EMPREENDIMENTOS'!#REF!,CD42*(1-'DADOS DOS EMPREENDIMENTOS'!#REF!-'DADOS DOS EMPREENDIMENTOS'!#REF!))))</f>
        <v>#REF!</v>
      </c>
      <c r="CG42" s="46"/>
      <c r="CH42" s="26"/>
      <c r="CI42" s="8"/>
      <c r="CJ42" s="61"/>
    </row>
    <row r="43" spans="4:89" ht="12.75" customHeight="1" thickBot="1" x14ac:dyDescent="0.25">
      <c r="O43" s="39">
        <v>28</v>
      </c>
      <c r="P43" s="353" t="s">
        <v>282</v>
      </c>
      <c r="Q43" s="356">
        <f>VLOOKUP(P43,Apoio!C:E,2,0)</f>
        <v>221610</v>
      </c>
      <c r="R43" s="355">
        <v>220000</v>
      </c>
      <c r="S43" s="216">
        <v>5</v>
      </c>
      <c r="T43" s="46">
        <v>2</v>
      </c>
      <c r="U43" s="26"/>
      <c r="V43" s="8"/>
      <c r="W43" s="61"/>
      <c r="Y43" s="46">
        <v>2</v>
      </c>
      <c r="Z43" s="26"/>
      <c r="AA43" s="8"/>
      <c r="AB43" s="61"/>
      <c r="AD43" s="46">
        <v>2</v>
      </c>
      <c r="AE43" s="26">
        <v>39995</v>
      </c>
      <c r="AF43" s="8">
        <v>0</v>
      </c>
      <c r="AG43" s="61" t="e">
        <f>IF(AD43&lt;'DADOS DOS EMPREENDIMENTOS'!AF$11,0,IF(AD43='DADOS DOS EMPREENDIMENTOS'!AF$11,SUM(AF$41:AF43)*(1-'DADOS DOS EMPREENDIMENTOS'!#REF!-'DADOS DOS EMPREENDIMENTOS'!#REF!)+'DADOS DOS EMPREENDIMENTOS'!#REF!,IF(AD43='DADOS DOS EMPREENDIMENTOS'!#REF!,'DADOS DOS EMPREENDIMENTOS'!#REF!,AF43*(1-'DADOS DOS EMPREENDIMENTOS'!#REF!-'DADOS DOS EMPREENDIMENTOS'!#REF!))))</f>
        <v>#REF!</v>
      </c>
      <c r="AI43" s="46">
        <v>2</v>
      </c>
      <c r="AJ43" s="26">
        <v>39995</v>
      </c>
      <c r="AK43" s="8">
        <v>0</v>
      </c>
      <c r="AL43" s="61" t="e">
        <f>IF(AI43&lt;'DADOS DOS EMPREENDIMENTOS'!AK$11,0,IF(AI43='DADOS DOS EMPREENDIMENTOS'!AK$11,SUM(AK$41:AK43)*(1-'DADOS DOS EMPREENDIMENTOS'!#REF!-'DADOS DOS EMPREENDIMENTOS'!#REF!)+'DADOS DOS EMPREENDIMENTOS'!#REF!,IF(AI43='DADOS DOS EMPREENDIMENTOS'!#REF!,'DADOS DOS EMPREENDIMENTOS'!#REF!,AK43*(1-'DADOS DOS EMPREENDIMENTOS'!#REF!-'DADOS DOS EMPREENDIMENTOS'!#REF!))))</f>
        <v>#REF!</v>
      </c>
      <c r="AN43" s="46">
        <v>2</v>
      </c>
      <c r="AO43" s="26">
        <v>39995</v>
      </c>
      <c r="AP43" s="8">
        <v>0</v>
      </c>
      <c r="AQ43" s="61" t="e">
        <f>IF(AN43&lt;'DADOS DOS EMPREENDIMENTOS'!AP$11,0,IF(AN43='DADOS DOS EMPREENDIMENTOS'!AP$11,SUM(AP$41:AP43)*(1-'DADOS DOS EMPREENDIMENTOS'!#REF!-'DADOS DOS EMPREENDIMENTOS'!#REF!)+'DADOS DOS EMPREENDIMENTOS'!#REF!,IF(AN43='DADOS DOS EMPREENDIMENTOS'!#REF!,'DADOS DOS EMPREENDIMENTOS'!#REF!,AP43*(1-'DADOS DOS EMPREENDIMENTOS'!#REF!-'DADOS DOS EMPREENDIMENTOS'!#REF!))))</f>
        <v>#REF!</v>
      </c>
      <c r="AS43" s="46">
        <v>2</v>
      </c>
      <c r="AT43" s="26">
        <v>39995</v>
      </c>
      <c r="AU43" s="8">
        <v>0</v>
      </c>
      <c r="AV43" s="61" t="e">
        <f>IF(AS43&lt;'DADOS DOS EMPREENDIMENTOS'!AU$11,0,IF(AS43='DADOS DOS EMPREENDIMENTOS'!AU$11,SUM(AU$41:AU43)*(1-'DADOS DOS EMPREENDIMENTOS'!#REF!-'DADOS DOS EMPREENDIMENTOS'!#REF!)+'DADOS DOS EMPREENDIMENTOS'!#REF!,IF(AS43='DADOS DOS EMPREENDIMENTOS'!#REF!,'DADOS DOS EMPREENDIMENTOS'!#REF!,AU43*(1-'DADOS DOS EMPREENDIMENTOS'!#REF!-'DADOS DOS EMPREENDIMENTOS'!#REF!))))</f>
        <v>#REF!</v>
      </c>
      <c r="AX43" s="46">
        <v>2</v>
      </c>
      <c r="AY43" s="26">
        <v>39995</v>
      </c>
      <c r="AZ43" s="8">
        <v>0</v>
      </c>
      <c r="BA43" s="61" t="e">
        <f>IF(AX43&lt;'DADOS DOS EMPREENDIMENTOS'!AZ$11,0,IF(AX43='DADOS DOS EMPREENDIMENTOS'!AZ$11,SUM(AZ$41:AZ43)*(1-'DADOS DOS EMPREENDIMENTOS'!#REF!-'DADOS DOS EMPREENDIMENTOS'!#REF!)+'DADOS DOS EMPREENDIMENTOS'!#REF!,IF(AX43='DADOS DOS EMPREENDIMENTOS'!#REF!,'DADOS DOS EMPREENDIMENTOS'!#REF!,AZ43*(1-'DADOS DOS EMPREENDIMENTOS'!#REF!-'DADOS DOS EMPREENDIMENTOS'!#REF!))))</f>
        <v>#REF!</v>
      </c>
      <c r="BC43" s="46">
        <v>2</v>
      </c>
      <c r="BD43" s="26">
        <v>39995</v>
      </c>
      <c r="BE43" s="8">
        <v>0</v>
      </c>
      <c r="BF43" s="61" t="e">
        <f>IF(BC43&lt;'DADOS DOS EMPREENDIMENTOS'!BE$11,0,IF(BC43='DADOS DOS EMPREENDIMENTOS'!BE$11,SUM(BE$41:BE43)*(1-'DADOS DOS EMPREENDIMENTOS'!#REF!-'DADOS DOS EMPREENDIMENTOS'!#REF!)+'DADOS DOS EMPREENDIMENTOS'!#REF!,IF(BC43='DADOS DOS EMPREENDIMENTOS'!#REF!,'DADOS DOS EMPREENDIMENTOS'!#REF!,BE43*(1-'DADOS DOS EMPREENDIMENTOS'!#REF!-'DADOS DOS EMPREENDIMENTOS'!#REF!))))</f>
        <v>#REF!</v>
      </c>
      <c r="BH43" s="46">
        <v>2</v>
      </c>
      <c r="BI43" s="26">
        <v>39995</v>
      </c>
      <c r="BJ43" s="8">
        <v>0</v>
      </c>
      <c r="BK43" s="61" t="e">
        <f>IF(BH43&lt;'DADOS DOS EMPREENDIMENTOS'!BJ$11,0,IF(BH43='DADOS DOS EMPREENDIMENTOS'!BJ$11,SUM(BJ$41:BJ43)*(1-'DADOS DOS EMPREENDIMENTOS'!#REF!-'DADOS DOS EMPREENDIMENTOS'!#REF!)+'DADOS DOS EMPREENDIMENTOS'!#REF!,IF(BH43='DADOS DOS EMPREENDIMENTOS'!#REF!,'DADOS DOS EMPREENDIMENTOS'!#REF!,BJ43*(1-'DADOS DOS EMPREENDIMENTOS'!#REF!-'DADOS DOS EMPREENDIMENTOS'!#REF!))))</f>
        <v>#REF!</v>
      </c>
      <c r="BM43" s="46">
        <v>2</v>
      </c>
      <c r="BN43" s="26">
        <v>39995</v>
      </c>
      <c r="BO43" s="8">
        <v>0</v>
      </c>
      <c r="BP43" s="61" t="e">
        <f>IF(BM43&lt;'DADOS DOS EMPREENDIMENTOS'!BO$11,0,IF(BM43='DADOS DOS EMPREENDIMENTOS'!BO$11,SUM(BO$41:BO43)*(1-'DADOS DOS EMPREENDIMENTOS'!#REF!-'DADOS DOS EMPREENDIMENTOS'!#REF!)+'DADOS DOS EMPREENDIMENTOS'!#REF!,IF(BM43='DADOS DOS EMPREENDIMENTOS'!BO$12,'DADOS DOS EMPREENDIMENTOS'!#REF!,BO43*(1-'DADOS DOS EMPREENDIMENTOS'!#REF!-'DADOS DOS EMPREENDIMENTOS'!#REF!))))</f>
        <v>#REF!</v>
      </c>
      <c r="BR43" s="46">
        <v>2</v>
      </c>
      <c r="BS43" s="26">
        <v>39995</v>
      </c>
      <c r="BT43" s="8">
        <v>0</v>
      </c>
      <c r="BU43" s="61" t="e">
        <f>IF(BR43&lt;'DADOS DOS EMPREENDIMENTOS'!BT$11,0,IF(BR43='DADOS DOS EMPREENDIMENTOS'!BT$11,SUM(BT$41:BT43)*(1-'DADOS DOS EMPREENDIMENTOS'!#REF!-'DADOS DOS EMPREENDIMENTOS'!#REF!)+'DADOS DOS EMPREENDIMENTOS'!#REF!,IF(BR43='DADOS DOS EMPREENDIMENTOS'!BT$12,'DADOS DOS EMPREENDIMENTOS'!#REF!,BT43*(1-'DADOS DOS EMPREENDIMENTOS'!#REF!-'DADOS DOS EMPREENDIMENTOS'!#REF!))))</f>
        <v>#REF!</v>
      </c>
      <c r="BW43" s="46">
        <v>2</v>
      </c>
      <c r="BX43" s="26">
        <v>39995</v>
      </c>
      <c r="BY43" s="8">
        <v>0</v>
      </c>
      <c r="BZ43" s="61" t="e">
        <f>IF(BW43&lt;'DADOS DOS EMPREENDIMENTOS'!BY$11,0,IF(BW43='DADOS DOS EMPREENDIMENTOS'!BY$11,SUM(BY$41:BY43)*(1-'DADOS DOS EMPREENDIMENTOS'!#REF!-'DADOS DOS EMPREENDIMENTOS'!#REF!)+'DADOS DOS EMPREENDIMENTOS'!#REF!,IF(BW43='DADOS DOS EMPREENDIMENTOS'!BY$12,'DADOS DOS EMPREENDIMENTOS'!#REF!,BY43*(1-'DADOS DOS EMPREENDIMENTOS'!#REF!-'DADOS DOS EMPREENDIMENTOS'!#REF!))))</f>
        <v>#REF!</v>
      </c>
      <c r="CB43" s="46">
        <v>2</v>
      </c>
      <c r="CC43" s="26">
        <v>39995</v>
      </c>
      <c r="CD43" s="8">
        <v>0</v>
      </c>
      <c r="CE43" s="61" t="e">
        <f>IF(CB43&lt;'DADOS DOS EMPREENDIMENTOS'!CD$11,0,IF(CB43='DADOS DOS EMPREENDIMENTOS'!CD$11,SUM(CD$41:CD43)*(1-'DADOS DOS EMPREENDIMENTOS'!#REF!-'DADOS DOS EMPREENDIMENTOS'!#REF!)+'DADOS DOS EMPREENDIMENTOS'!#REF!,IF(CB43='DADOS DOS EMPREENDIMENTOS'!CD$12,'DADOS DOS EMPREENDIMENTOS'!#REF!,CD43*(1-'DADOS DOS EMPREENDIMENTOS'!#REF!-'DADOS DOS EMPREENDIMENTOS'!#REF!))))</f>
        <v>#REF!</v>
      </c>
      <c r="CG43" s="46"/>
      <c r="CH43" s="26"/>
      <c r="CI43" s="8"/>
      <c r="CJ43" s="61"/>
    </row>
    <row r="44" spans="4:89" ht="12.75" customHeight="1" thickBot="1" x14ac:dyDescent="0.25">
      <c r="O44" s="37">
        <v>29</v>
      </c>
      <c r="P44" s="353" t="s">
        <v>283</v>
      </c>
      <c r="Q44" s="356">
        <f>VLOOKUP(P44,Apoio!C:E,2,0)</f>
        <v>222500</v>
      </c>
      <c r="R44" s="355">
        <v>220000</v>
      </c>
      <c r="S44" s="216">
        <v>5</v>
      </c>
      <c r="T44" s="46">
        <v>3</v>
      </c>
      <c r="U44" s="26"/>
      <c r="V44" s="8"/>
      <c r="W44" s="61"/>
      <c r="Y44" s="46">
        <v>3</v>
      </c>
      <c r="Z44" s="26"/>
      <c r="AA44" s="8"/>
      <c r="AB44" s="61"/>
      <c r="AD44" s="46">
        <v>3</v>
      </c>
      <c r="AE44" s="26">
        <v>40026</v>
      </c>
      <c r="AF44" s="8">
        <v>0</v>
      </c>
      <c r="AG44" s="61" t="e">
        <f>IF(AD44&lt;'DADOS DOS EMPREENDIMENTOS'!AF$11,0,IF(AD44='DADOS DOS EMPREENDIMENTOS'!AF$11,SUM(AF$41:AF44)*(1-'DADOS DOS EMPREENDIMENTOS'!#REF!-'DADOS DOS EMPREENDIMENTOS'!#REF!)+'DADOS DOS EMPREENDIMENTOS'!#REF!,IF(AD44='DADOS DOS EMPREENDIMENTOS'!#REF!,'DADOS DOS EMPREENDIMENTOS'!#REF!,AF44*(1-'DADOS DOS EMPREENDIMENTOS'!#REF!-'DADOS DOS EMPREENDIMENTOS'!#REF!))))</f>
        <v>#REF!</v>
      </c>
      <c r="AI44" s="46">
        <v>3</v>
      </c>
      <c r="AJ44" s="26">
        <v>40026</v>
      </c>
      <c r="AK44" s="8">
        <v>0</v>
      </c>
      <c r="AL44" s="61" t="e">
        <f>IF(AI44&lt;'DADOS DOS EMPREENDIMENTOS'!AK$11,0,IF(AI44='DADOS DOS EMPREENDIMENTOS'!AK$11,SUM(AK$41:AK44)*(1-'DADOS DOS EMPREENDIMENTOS'!#REF!-'DADOS DOS EMPREENDIMENTOS'!#REF!)+'DADOS DOS EMPREENDIMENTOS'!#REF!,IF(AI44='DADOS DOS EMPREENDIMENTOS'!#REF!,'DADOS DOS EMPREENDIMENTOS'!#REF!,AK44*(1-'DADOS DOS EMPREENDIMENTOS'!#REF!-'DADOS DOS EMPREENDIMENTOS'!#REF!))))</f>
        <v>#REF!</v>
      </c>
      <c r="AN44" s="46">
        <v>3</v>
      </c>
      <c r="AO44" s="26">
        <v>40026</v>
      </c>
      <c r="AP44" s="8">
        <v>0</v>
      </c>
      <c r="AQ44" s="61" t="e">
        <f>IF(AN44&lt;'DADOS DOS EMPREENDIMENTOS'!AP$11,0,IF(AN44='DADOS DOS EMPREENDIMENTOS'!AP$11,SUM(AP$41:AP44)*(1-'DADOS DOS EMPREENDIMENTOS'!#REF!-'DADOS DOS EMPREENDIMENTOS'!#REF!)+'DADOS DOS EMPREENDIMENTOS'!#REF!,IF(AN44='DADOS DOS EMPREENDIMENTOS'!#REF!,'DADOS DOS EMPREENDIMENTOS'!#REF!,AP44*(1-'DADOS DOS EMPREENDIMENTOS'!#REF!-'DADOS DOS EMPREENDIMENTOS'!#REF!))))</f>
        <v>#REF!</v>
      </c>
      <c r="AS44" s="46">
        <v>3</v>
      </c>
      <c r="AT44" s="26">
        <v>40026</v>
      </c>
      <c r="AU44" s="8">
        <v>0</v>
      </c>
      <c r="AV44" s="61" t="e">
        <f>IF(AS44&lt;'DADOS DOS EMPREENDIMENTOS'!AU$11,0,IF(AS44='DADOS DOS EMPREENDIMENTOS'!AU$11,SUM(AU$41:AU44)*(1-'DADOS DOS EMPREENDIMENTOS'!#REF!-'DADOS DOS EMPREENDIMENTOS'!#REF!)+'DADOS DOS EMPREENDIMENTOS'!#REF!,IF(AS44='DADOS DOS EMPREENDIMENTOS'!#REF!,'DADOS DOS EMPREENDIMENTOS'!#REF!,AU44*(1-'DADOS DOS EMPREENDIMENTOS'!#REF!-'DADOS DOS EMPREENDIMENTOS'!#REF!))))</f>
        <v>#REF!</v>
      </c>
      <c r="AX44" s="46">
        <v>3</v>
      </c>
      <c r="AY44" s="26">
        <v>40026</v>
      </c>
      <c r="AZ44" s="8">
        <v>0</v>
      </c>
      <c r="BA44" s="61" t="e">
        <f>IF(AX44&lt;'DADOS DOS EMPREENDIMENTOS'!AZ$11,0,IF(AX44='DADOS DOS EMPREENDIMENTOS'!AZ$11,SUM(AZ$41:AZ44)*(1-'DADOS DOS EMPREENDIMENTOS'!#REF!-'DADOS DOS EMPREENDIMENTOS'!#REF!)+'DADOS DOS EMPREENDIMENTOS'!#REF!,IF(AX44='DADOS DOS EMPREENDIMENTOS'!#REF!,'DADOS DOS EMPREENDIMENTOS'!#REF!,AZ44*(1-'DADOS DOS EMPREENDIMENTOS'!#REF!-'DADOS DOS EMPREENDIMENTOS'!#REF!))))</f>
        <v>#REF!</v>
      </c>
      <c r="BC44" s="46">
        <v>3</v>
      </c>
      <c r="BD44" s="26">
        <v>40026</v>
      </c>
      <c r="BE44" s="8">
        <v>0</v>
      </c>
      <c r="BF44" s="61" t="e">
        <f>IF(BC44&lt;'DADOS DOS EMPREENDIMENTOS'!BE$11,0,IF(BC44='DADOS DOS EMPREENDIMENTOS'!BE$11,SUM(BE$41:BE44)*(1-'DADOS DOS EMPREENDIMENTOS'!#REF!-'DADOS DOS EMPREENDIMENTOS'!#REF!)+'DADOS DOS EMPREENDIMENTOS'!#REF!,IF(BC44='DADOS DOS EMPREENDIMENTOS'!#REF!,'DADOS DOS EMPREENDIMENTOS'!#REF!,BE44*(1-'DADOS DOS EMPREENDIMENTOS'!#REF!-'DADOS DOS EMPREENDIMENTOS'!#REF!))))</f>
        <v>#REF!</v>
      </c>
      <c r="BH44" s="46">
        <v>3</v>
      </c>
      <c r="BI44" s="26">
        <v>40026</v>
      </c>
      <c r="BJ44" s="8">
        <v>0</v>
      </c>
      <c r="BK44" s="61" t="e">
        <f>IF(BH44&lt;'DADOS DOS EMPREENDIMENTOS'!BJ$11,0,IF(BH44='DADOS DOS EMPREENDIMENTOS'!BJ$11,SUM(BJ$41:BJ44)*(1-'DADOS DOS EMPREENDIMENTOS'!#REF!-'DADOS DOS EMPREENDIMENTOS'!#REF!)+'DADOS DOS EMPREENDIMENTOS'!#REF!,IF(BH44='DADOS DOS EMPREENDIMENTOS'!#REF!,'DADOS DOS EMPREENDIMENTOS'!#REF!,BJ44*(1-'DADOS DOS EMPREENDIMENTOS'!#REF!-'DADOS DOS EMPREENDIMENTOS'!#REF!))))</f>
        <v>#REF!</v>
      </c>
      <c r="BM44" s="46">
        <v>3</v>
      </c>
      <c r="BN44" s="26">
        <v>40026</v>
      </c>
      <c r="BO44" s="8">
        <v>0</v>
      </c>
      <c r="BP44" s="61" t="e">
        <f>IF(BM44&lt;'DADOS DOS EMPREENDIMENTOS'!BO$11,0,IF(BM44='DADOS DOS EMPREENDIMENTOS'!BO$11,SUM(BO$41:BO44)*(1-'DADOS DOS EMPREENDIMENTOS'!#REF!-'DADOS DOS EMPREENDIMENTOS'!#REF!)+'DADOS DOS EMPREENDIMENTOS'!#REF!,IF(BM44='DADOS DOS EMPREENDIMENTOS'!BO$12,'DADOS DOS EMPREENDIMENTOS'!#REF!,BO44*(1-'DADOS DOS EMPREENDIMENTOS'!#REF!-'DADOS DOS EMPREENDIMENTOS'!#REF!))))</f>
        <v>#REF!</v>
      </c>
      <c r="BR44" s="46">
        <v>3</v>
      </c>
      <c r="BS44" s="26">
        <v>40026</v>
      </c>
      <c r="BT44" s="8">
        <v>0</v>
      </c>
      <c r="BU44" s="61" t="e">
        <f>IF(BR44&lt;'DADOS DOS EMPREENDIMENTOS'!BT$11,0,IF(BR44='DADOS DOS EMPREENDIMENTOS'!BT$11,SUM(BT$41:BT44)*(1-'DADOS DOS EMPREENDIMENTOS'!#REF!-'DADOS DOS EMPREENDIMENTOS'!#REF!)+'DADOS DOS EMPREENDIMENTOS'!#REF!,IF(BR44='DADOS DOS EMPREENDIMENTOS'!BT$12,'DADOS DOS EMPREENDIMENTOS'!#REF!,BT44*(1-'DADOS DOS EMPREENDIMENTOS'!#REF!-'DADOS DOS EMPREENDIMENTOS'!#REF!))))</f>
        <v>#REF!</v>
      </c>
      <c r="BW44" s="46">
        <v>3</v>
      </c>
      <c r="BX44" s="26">
        <v>40026</v>
      </c>
      <c r="BY44" s="8">
        <v>0</v>
      </c>
      <c r="BZ44" s="61" t="e">
        <f>IF(BW44&lt;'DADOS DOS EMPREENDIMENTOS'!BY$11,0,IF(BW44='DADOS DOS EMPREENDIMENTOS'!BY$11,SUM(BY$41:BY44)*(1-'DADOS DOS EMPREENDIMENTOS'!#REF!-'DADOS DOS EMPREENDIMENTOS'!#REF!)+'DADOS DOS EMPREENDIMENTOS'!#REF!,IF(BW44='DADOS DOS EMPREENDIMENTOS'!BY$12,'DADOS DOS EMPREENDIMENTOS'!#REF!,BY44*(1-'DADOS DOS EMPREENDIMENTOS'!#REF!-'DADOS DOS EMPREENDIMENTOS'!#REF!))))</f>
        <v>#REF!</v>
      </c>
      <c r="CB44" s="46">
        <v>3</v>
      </c>
      <c r="CC44" s="26">
        <v>40026</v>
      </c>
      <c r="CD44" s="8">
        <v>0</v>
      </c>
      <c r="CE44" s="61" t="e">
        <f>IF(CB44&lt;'DADOS DOS EMPREENDIMENTOS'!CD$11,0,IF(CB44='DADOS DOS EMPREENDIMENTOS'!CD$11,SUM(CD$41:CD44)*(1-'DADOS DOS EMPREENDIMENTOS'!#REF!-'DADOS DOS EMPREENDIMENTOS'!#REF!)+'DADOS DOS EMPREENDIMENTOS'!#REF!,IF(CB44='DADOS DOS EMPREENDIMENTOS'!CD$12,'DADOS DOS EMPREENDIMENTOS'!#REF!,CD44*(1-'DADOS DOS EMPREENDIMENTOS'!#REF!-'DADOS DOS EMPREENDIMENTOS'!#REF!))))</f>
        <v>#REF!</v>
      </c>
      <c r="CG44" s="46"/>
      <c r="CH44" s="26"/>
      <c r="CI44" s="8"/>
      <c r="CJ44" s="61"/>
    </row>
    <row r="45" spans="4:89" ht="12.75" customHeight="1" thickBot="1" x14ac:dyDescent="0.25">
      <c r="O45" s="39">
        <v>30</v>
      </c>
      <c r="P45" s="353" t="s">
        <v>284</v>
      </c>
      <c r="Q45" s="356">
        <f>VLOOKUP(P45,Apoio!C:E,2,0)</f>
        <v>222500</v>
      </c>
      <c r="R45" s="355">
        <v>220000</v>
      </c>
      <c r="S45" s="216">
        <v>5</v>
      </c>
      <c r="T45" s="46">
        <v>4</v>
      </c>
      <c r="U45" s="26"/>
      <c r="V45" s="8"/>
      <c r="W45" s="61"/>
      <c r="Y45" s="46">
        <v>4</v>
      </c>
      <c r="Z45" s="26"/>
      <c r="AA45" s="8"/>
      <c r="AB45" s="61"/>
      <c r="AD45" s="46">
        <v>4</v>
      </c>
      <c r="AE45" s="26">
        <v>40057</v>
      </c>
      <c r="AF45" s="8">
        <v>0</v>
      </c>
      <c r="AG45" s="61" t="e">
        <f>IF(AD45&lt;'DADOS DOS EMPREENDIMENTOS'!AF$11,0,IF(AD45='DADOS DOS EMPREENDIMENTOS'!AF$11,SUM(AF$41:AF45)*(1-'DADOS DOS EMPREENDIMENTOS'!#REF!-'DADOS DOS EMPREENDIMENTOS'!#REF!)+'DADOS DOS EMPREENDIMENTOS'!#REF!,IF(AD45='DADOS DOS EMPREENDIMENTOS'!#REF!,'DADOS DOS EMPREENDIMENTOS'!#REF!,AF45*(1-'DADOS DOS EMPREENDIMENTOS'!#REF!-'DADOS DOS EMPREENDIMENTOS'!#REF!))))</f>
        <v>#REF!</v>
      </c>
      <c r="AI45" s="46">
        <v>4</v>
      </c>
      <c r="AJ45" s="26">
        <v>40057</v>
      </c>
      <c r="AK45" s="8">
        <v>0</v>
      </c>
      <c r="AL45" s="61" t="e">
        <f>IF(AI45&lt;'DADOS DOS EMPREENDIMENTOS'!AK$11,0,IF(AI45='DADOS DOS EMPREENDIMENTOS'!AK$11,SUM(AK$41:AK45)*(1-'DADOS DOS EMPREENDIMENTOS'!#REF!-'DADOS DOS EMPREENDIMENTOS'!#REF!)+'DADOS DOS EMPREENDIMENTOS'!#REF!,IF(AI45='DADOS DOS EMPREENDIMENTOS'!#REF!,'DADOS DOS EMPREENDIMENTOS'!#REF!,AK45*(1-'DADOS DOS EMPREENDIMENTOS'!#REF!-'DADOS DOS EMPREENDIMENTOS'!#REF!))))</f>
        <v>#REF!</v>
      </c>
      <c r="AN45" s="46">
        <v>4</v>
      </c>
      <c r="AO45" s="26">
        <v>40057</v>
      </c>
      <c r="AP45" s="8">
        <v>0</v>
      </c>
      <c r="AQ45" s="61" t="e">
        <f>IF(AN45&lt;'DADOS DOS EMPREENDIMENTOS'!AP$11,0,IF(AN45='DADOS DOS EMPREENDIMENTOS'!AP$11,SUM(AP$41:AP45)*(1-'DADOS DOS EMPREENDIMENTOS'!#REF!-'DADOS DOS EMPREENDIMENTOS'!#REF!)+'DADOS DOS EMPREENDIMENTOS'!#REF!,IF(AN45='DADOS DOS EMPREENDIMENTOS'!#REF!,'DADOS DOS EMPREENDIMENTOS'!#REF!,AP45*(1-'DADOS DOS EMPREENDIMENTOS'!#REF!-'DADOS DOS EMPREENDIMENTOS'!#REF!))))</f>
        <v>#REF!</v>
      </c>
      <c r="AS45" s="46">
        <v>4</v>
      </c>
      <c r="AT45" s="26">
        <v>40057</v>
      </c>
      <c r="AU45" s="8">
        <v>0</v>
      </c>
      <c r="AV45" s="61" t="e">
        <f>IF(AS45&lt;'DADOS DOS EMPREENDIMENTOS'!AU$11,0,IF(AS45='DADOS DOS EMPREENDIMENTOS'!AU$11,SUM(AU$41:AU45)*(1-'DADOS DOS EMPREENDIMENTOS'!#REF!-'DADOS DOS EMPREENDIMENTOS'!#REF!)+'DADOS DOS EMPREENDIMENTOS'!#REF!,IF(AS45='DADOS DOS EMPREENDIMENTOS'!#REF!,'DADOS DOS EMPREENDIMENTOS'!#REF!,AU45*(1-'DADOS DOS EMPREENDIMENTOS'!#REF!-'DADOS DOS EMPREENDIMENTOS'!#REF!))))</f>
        <v>#REF!</v>
      </c>
      <c r="AX45" s="46">
        <v>4</v>
      </c>
      <c r="AY45" s="26">
        <v>40057</v>
      </c>
      <c r="AZ45" s="8">
        <v>0</v>
      </c>
      <c r="BA45" s="61" t="e">
        <f>IF(AX45&lt;'DADOS DOS EMPREENDIMENTOS'!AZ$11,0,IF(AX45='DADOS DOS EMPREENDIMENTOS'!AZ$11,SUM(AZ$41:AZ45)*(1-'DADOS DOS EMPREENDIMENTOS'!#REF!-'DADOS DOS EMPREENDIMENTOS'!#REF!)+'DADOS DOS EMPREENDIMENTOS'!#REF!,IF(AX45='DADOS DOS EMPREENDIMENTOS'!#REF!,'DADOS DOS EMPREENDIMENTOS'!#REF!,AZ45*(1-'DADOS DOS EMPREENDIMENTOS'!#REF!-'DADOS DOS EMPREENDIMENTOS'!#REF!))))</f>
        <v>#REF!</v>
      </c>
      <c r="BC45" s="46">
        <v>4</v>
      </c>
      <c r="BD45" s="26">
        <v>40057</v>
      </c>
      <c r="BE45" s="8">
        <v>0</v>
      </c>
      <c r="BF45" s="61" t="e">
        <f>IF(BC45&lt;'DADOS DOS EMPREENDIMENTOS'!BE$11,0,IF(BC45='DADOS DOS EMPREENDIMENTOS'!BE$11,SUM(BE$41:BE45)*(1-'DADOS DOS EMPREENDIMENTOS'!#REF!-'DADOS DOS EMPREENDIMENTOS'!#REF!)+'DADOS DOS EMPREENDIMENTOS'!#REF!,IF(BC45='DADOS DOS EMPREENDIMENTOS'!#REF!,'DADOS DOS EMPREENDIMENTOS'!#REF!,BE45*(1-'DADOS DOS EMPREENDIMENTOS'!#REF!-'DADOS DOS EMPREENDIMENTOS'!#REF!))))</f>
        <v>#REF!</v>
      </c>
      <c r="BH45" s="46">
        <v>4</v>
      </c>
      <c r="BI45" s="26">
        <v>40057</v>
      </c>
      <c r="BJ45" s="8">
        <v>0</v>
      </c>
      <c r="BK45" s="61" t="e">
        <f>IF(BH45&lt;'DADOS DOS EMPREENDIMENTOS'!BJ$11,0,IF(BH45='DADOS DOS EMPREENDIMENTOS'!BJ$11,SUM(BJ$41:BJ45)*(1-'DADOS DOS EMPREENDIMENTOS'!#REF!-'DADOS DOS EMPREENDIMENTOS'!#REF!)+'DADOS DOS EMPREENDIMENTOS'!#REF!,IF(BH45='DADOS DOS EMPREENDIMENTOS'!#REF!,'DADOS DOS EMPREENDIMENTOS'!#REF!,BJ45*(1-'DADOS DOS EMPREENDIMENTOS'!#REF!-'DADOS DOS EMPREENDIMENTOS'!#REF!))))</f>
        <v>#REF!</v>
      </c>
      <c r="BM45" s="46">
        <v>4</v>
      </c>
      <c r="BN45" s="26">
        <v>40057</v>
      </c>
      <c r="BO45" s="8">
        <v>0</v>
      </c>
      <c r="BP45" s="61" t="e">
        <f>IF(BM45&lt;'DADOS DOS EMPREENDIMENTOS'!BO$11,0,IF(BM45='DADOS DOS EMPREENDIMENTOS'!BO$11,SUM(BO$41:BO45)*(1-'DADOS DOS EMPREENDIMENTOS'!#REF!-'DADOS DOS EMPREENDIMENTOS'!#REF!)+'DADOS DOS EMPREENDIMENTOS'!#REF!,IF(BM45='DADOS DOS EMPREENDIMENTOS'!BO$12,'DADOS DOS EMPREENDIMENTOS'!#REF!,BO45*(1-'DADOS DOS EMPREENDIMENTOS'!#REF!-'DADOS DOS EMPREENDIMENTOS'!#REF!))))</f>
        <v>#REF!</v>
      </c>
      <c r="BR45" s="46">
        <v>4</v>
      </c>
      <c r="BS45" s="26">
        <v>40057</v>
      </c>
      <c r="BT45" s="8">
        <v>0</v>
      </c>
      <c r="BU45" s="61" t="e">
        <f>IF(BR45&lt;'DADOS DOS EMPREENDIMENTOS'!BT$11,0,IF(BR45='DADOS DOS EMPREENDIMENTOS'!BT$11,SUM(BT$41:BT45)*(1-'DADOS DOS EMPREENDIMENTOS'!#REF!-'DADOS DOS EMPREENDIMENTOS'!#REF!)+'DADOS DOS EMPREENDIMENTOS'!#REF!,IF(BR45='DADOS DOS EMPREENDIMENTOS'!BT$12,'DADOS DOS EMPREENDIMENTOS'!#REF!,BT45*(1-'DADOS DOS EMPREENDIMENTOS'!#REF!-'DADOS DOS EMPREENDIMENTOS'!#REF!))))</f>
        <v>#REF!</v>
      </c>
      <c r="BW45" s="46">
        <v>4</v>
      </c>
      <c r="BX45" s="26">
        <v>40057</v>
      </c>
      <c r="BY45" s="8">
        <v>0</v>
      </c>
      <c r="BZ45" s="61" t="e">
        <f>IF(BW45&lt;'DADOS DOS EMPREENDIMENTOS'!BY$11,0,IF(BW45='DADOS DOS EMPREENDIMENTOS'!BY$11,SUM(BY$41:BY45)*(1-'DADOS DOS EMPREENDIMENTOS'!#REF!-'DADOS DOS EMPREENDIMENTOS'!#REF!)+'DADOS DOS EMPREENDIMENTOS'!#REF!,IF(BW45='DADOS DOS EMPREENDIMENTOS'!BY$12,'DADOS DOS EMPREENDIMENTOS'!#REF!,BY45*(1-'DADOS DOS EMPREENDIMENTOS'!#REF!-'DADOS DOS EMPREENDIMENTOS'!#REF!))))</f>
        <v>#REF!</v>
      </c>
      <c r="CB45" s="46">
        <v>4</v>
      </c>
      <c r="CC45" s="26">
        <v>40057</v>
      </c>
      <c r="CD45" s="8">
        <v>0</v>
      </c>
      <c r="CE45" s="61" t="e">
        <f>IF(CB45&lt;'DADOS DOS EMPREENDIMENTOS'!CD$11,0,IF(CB45='DADOS DOS EMPREENDIMENTOS'!CD$11,SUM(CD$41:CD45)*(1-'DADOS DOS EMPREENDIMENTOS'!#REF!-'DADOS DOS EMPREENDIMENTOS'!#REF!)+'DADOS DOS EMPREENDIMENTOS'!#REF!,IF(CB45='DADOS DOS EMPREENDIMENTOS'!CD$12,'DADOS DOS EMPREENDIMENTOS'!#REF!,CD45*(1-'DADOS DOS EMPREENDIMENTOS'!#REF!-'DADOS DOS EMPREENDIMENTOS'!#REF!))))</f>
        <v>#REF!</v>
      </c>
      <c r="CG45" s="46"/>
      <c r="CH45" s="26"/>
      <c r="CI45" s="8"/>
      <c r="CJ45" s="61"/>
    </row>
    <row r="46" spans="4:89" ht="12.75" customHeight="1" thickBot="1" x14ac:dyDescent="0.25">
      <c r="O46" s="37">
        <v>31</v>
      </c>
      <c r="P46" s="353" t="s">
        <v>285</v>
      </c>
      <c r="Q46" s="356">
        <f>VLOOKUP(P46,Apoio!C:E,2,0)</f>
        <v>221610</v>
      </c>
      <c r="R46" s="355">
        <v>220000</v>
      </c>
      <c r="S46" s="216">
        <v>5</v>
      </c>
      <c r="T46" s="46">
        <v>5</v>
      </c>
      <c r="U46" s="26"/>
      <c r="V46" s="8"/>
      <c r="W46" s="61"/>
      <c r="Y46" s="46">
        <v>5</v>
      </c>
      <c r="Z46" s="26"/>
      <c r="AA46" s="8"/>
      <c r="AB46" s="61"/>
      <c r="AD46" s="46">
        <v>5</v>
      </c>
      <c r="AE46" s="26">
        <v>40087</v>
      </c>
      <c r="AF46" s="8">
        <v>0</v>
      </c>
      <c r="AG46" s="61" t="e">
        <f>IF(AD46&lt;'DADOS DOS EMPREENDIMENTOS'!AF$11,0,IF(AD46='DADOS DOS EMPREENDIMENTOS'!AF$11,SUM(AF$41:AF46)*(1-'DADOS DOS EMPREENDIMENTOS'!#REF!-'DADOS DOS EMPREENDIMENTOS'!#REF!)+'DADOS DOS EMPREENDIMENTOS'!#REF!,IF(AD46='DADOS DOS EMPREENDIMENTOS'!#REF!,'DADOS DOS EMPREENDIMENTOS'!#REF!,AF46*(1-'DADOS DOS EMPREENDIMENTOS'!#REF!-'DADOS DOS EMPREENDIMENTOS'!#REF!))))</f>
        <v>#REF!</v>
      </c>
      <c r="AI46" s="46">
        <v>5</v>
      </c>
      <c r="AJ46" s="26">
        <v>40087</v>
      </c>
      <c r="AK46" s="8">
        <v>0</v>
      </c>
      <c r="AL46" s="61" t="e">
        <f>IF(AI46&lt;'DADOS DOS EMPREENDIMENTOS'!AK$11,0,IF(AI46='DADOS DOS EMPREENDIMENTOS'!AK$11,SUM(AK$41:AK46)*(1-'DADOS DOS EMPREENDIMENTOS'!#REF!-'DADOS DOS EMPREENDIMENTOS'!#REF!)+'DADOS DOS EMPREENDIMENTOS'!#REF!,IF(AI46='DADOS DOS EMPREENDIMENTOS'!#REF!,'DADOS DOS EMPREENDIMENTOS'!#REF!,AK46*(1-'DADOS DOS EMPREENDIMENTOS'!#REF!-'DADOS DOS EMPREENDIMENTOS'!#REF!))))</f>
        <v>#REF!</v>
      </c>
      <c r="AN46" s="46">
        <v>5</v>
      </c>
      <c r="AO46" s="26">
        <v>40087</v>
      </c>
      <c r="AP46" s="8">
        <v>0</v>
      </c>
      <c r="AQ46" s="61" t="e">
        <f>IF(AN46&lt;'DADOS DOS EMPREENDIMENTOS'!AP$11,0,IF(AN46='DADOS DOS EMPREENDIMENTOS'!AP$11,SUM(AP$41:AP46)*(1-'DADOS DOS EMPREENDIMENTOS'!#REF!-'DADOS DOS EMPREENDIMENTOS'!#REF!)+'DADOS DOS EMPREENDIMENTOS'!#REF!,IF(AN46='DADOS DOS EMPREENDIMENTOS'!#REF!,'DADOS DOS EMPREENDIMENTOS'!#REF!,AP46*(1-'DADOS DOS EMPREENDIMENTOS'!#REF!-'DADOS DOS EMPREENDIMENTOS'!#REF!))))</f>
        <v>#REF!</v>
      </c>
      <c r="AS46" s="46">
        <v>5</v>
      </c>
      <c r="AT46" s="26">
        <v>40087</v>
      </c>
      <c r="AU46" s="8">
        <v>0</v>
      </c>
      <c r="AV46" s="61" t="e">
        <f>IF(AS46&lt;'DADOS DOS EMPREENDIMENTOS'!AU$11,0,IF(AS46='DADOS DOS EMPREENDIMENTOS'!AU$11,SUM(AU$41:AU46)*(1-'DADOS DOS EMPREENDIMENTOS'!#REF!-'DADOS DOS EMPREENDIMENTOS'!#REF!)+'DADOS DOS EMPREENDIMENTOS'!#REF!,IF(AS46='DADOS DOS EMPREENDIMENTOS'!#REF!,'DADOS DOS EMPREENDIMENTOS'!#REF!,AU46*(1-'DADOS DOS EMPREENDIMENTOS'!#REF!-'DADOS DOS EMPREENDIMENTOS'!#REF!))))</f>
        <v>#REF!</v>
      </c>
      <c r="AX46" s="46">
        <v>5</v>
      </c>
      <c r="AY46" s="26">
        <v>40087</v>
      </c>
      <c r="AZ46" s="8">
        <v>0</v>
      </c>
      <c r="BA46" s="61" t="e">
        <f>IF(AX46&lt;'DADOS DOS EMPREENDIMENTOS'!AZ$11,0,IF(AX46='DADOS DOS EMPREENDIMENTOS'!AZ$11,SUM(AZ$41:AZ46)*(1-'DADOS DOS EMPREENDIMENTOS'!#REF!-'DADOS DOS EMPREENDIMENTOS'!#REF!)+'DADOS DOS EMPREENDIMENTOS'!#REF!,IF(AX46='DADOS DOS EMPREENDIMENTOS'!#REF!,'DADOS DOS EMPREENDIMENTOS'!#REF!,AZ46*(1-'DADOS DOS EMPREENDIMENTOS'!#REF!-'DADOS DOS EMPREENDIMENTOS'!#REF!))))</f>
        <v>#REF!</v>
      </c>
      <c r="BC46" s="46">
        <v>5</v>
      </c>
      <c r="BD46" s="26">
        <v>40087</v>
      </c>
      <c r="BE46" s="8">
        <v>0</v>
      </c>
      <c r="BF46" s="61" t="e">
        <f>IF(BC46&lt;'DADOS DOS EMPREENDIMENTOS'!BE$11,0,IF(BC46='DADOS DOS EMPREENDIMENTOS'!BE$11,SUM(BE$41:BE46)*(1-'DADOS DOS EMPREENDIMENTOS'!#REF!-'DADOS DOS EMPREENDIMENTOS'!#REF!)+'DADOS DOS EMPREENDIMENTOS'!#REF!,IF(BC46='DADOS DOS EMPREENDIMENTOS'!#REF!,'DADOS DOS EMPREENDIMENTOS'!#REF!,BE46*(1-'DADOS DOS EMPREENDIMENTOS'!#REF!-'DADOS DOS EMPREENDIMENTOS'!#REF!))))</f>
        <v>#REF!</v>
      </c>
      <c r="BH46" s="46">
        <v>5</v>
      </c>
      <c r="BI46" s="26">
        <v>40087</v>
      </c>
      <c r="BJ46" s="8">
        <v>0</v>
      </c>
      <c r="BK46" s="61" t="e">
        <f>IF(BH46&lt;'DADOS DOS EMPREENDIMENTOS'!BJ$11,0,IF(BH46='DADOS DOS EMPREENDIMENTOS'!BJ$11,SUM(BJ$41:BJ46)*(1-'DADOS DOS EMPREENDIMENTOS'!#REF!-'DADOS DOS EMPREENDIMENTOS'!#REF!)+'DADOS DOS EMPREENDIMENTOS'!#REF!,IF(BH46='DADOS DOS EMPREENDIMENTOS'!#REF!,'DADOS DOS EMPREENDIMENTOS'!#REF!,BJ46*(1-'DADOS DOS EMPREENDIMENTOS'!#REF!-'DADOS DOS EMPREENDIMENTOS'!#REF!))))</f>
        <v>#REF!</v>
      </c>
      <c r="BM46" s="46">
        <v>5</v>
      </c>
      <c r="BN46" s="26">
        <v>40087</v>
      </c>
      <c r="BO46" s="8">
        <v>0</v>
      </c>
      <c r="BP46" s="61" t="e">
        <f>IF(BM46&lt;'DADOS DOS EMPREENDIMENTOS'!BO$11,0,IF(BM46='DADOS DOS EMPREENDIMENTOS'!BO$11,SUM(BO$41:BO46)*(1-'DADOS DOS EMPREENDIMENTOS'!#REF!-'DADOS DOS EMPREENDIMENTOS'!#REF!)+'DADOS DOS EMPREENDIMENTOS'!#REF!,IF(BM46='DADOS DOS EMPREENDIMENTOS'!BO$12,'DADOS DOS EMPREENDIMENTOS'!#REF!,BO46*(1-'DADOS DOS EMPREENDIMENTOS'!#REF!-'DADOS DOS EMPREENDIMENTOS'!#REF!))))</f>
        <v>#REF!</v>
      </c>
      <c r="BR46" s="46">
        <v>5</v>
      </c>
      <c r="BS46" s="26">
        <v>40087</v>
      </c>
      <c r="BT46" s="8">
        <v>0</v>
      </c>
      <c r="BU46" s="61" t="e">
        <f>IF(BR46&lt;'DADOS DOS EMPREENDIMENTOS'!BT$11,0,IF(BR46='DADOS DOS EMPREENDIMENTOS'!BT$11,SUM(BT$41:BT46)*(1-'DADOS DOS EMPREENDIMENTOS'!#REF!-'DADOS DOS EMPREENDIMENTOS'!#REF!)+'DADOS DOS EMPREENDIMENTOS'!#REF!,IF(BR46='DADOS DOS EMPREENDIMENTOS'!BT$12,'DADOS DOS EMPREENDIMENTOS'!#REF!,BT46*(1-'DADOS DOS EMPREENDIMENTOS'!#REF!-'DADOS DOS EMPREENDIMENTOS'!#REF!))))</f>
        <v>#REF!</v>
      </c>
      <c r="BW46" s="46">
        <v>5</v>
      </c>
      <c r="BX46" s="26">
        <v>40087</v>
      </c>
      <c r="BY46" s="8">
        <v>0</v>
      </c>
      <c r="BZ46" s="61" t="e">
        <f>IF(BW46&lt;'DADOS DOS EMPREENDIMENTOS'!BY$11,0,IF(BW46='DADOS DOS EMPREENDIMENTOS'!BY$11,SUM(BY$41:BY46)*(1-'DADOS DOS EMPREENDIMENTOS'!#REF!-'DADOS DOS EMPREENDIMENTOS'!#REF!)+'DADOS DOS EMPREENDIMENTOS'!#REF!,IF(BW46='DADOS DOS EMPREENDIMENTOS'!BY$12,'DADOS DOS EMPREENDIMENTOS'!#REF!,BY46*(1-'DADOS DOS EMPREENDIMENTOS'!#REF!-'DADOS DOS EMPREENDIMENTOS'!#REF!))))</f>
        <v>#REF!</v>
      </c>
      <c r="CB46" s="46">
        <v>5</v>
      </c>
      <c r="CC46" s="26">
        <v>40087</v>
      </c>
      <c r="CD46" s="8">
        <v>0</v>
      </c>
      <c r="CE46" s="61" t="e">
        <f>IF(CB46&lt;'DADOS DOS EMPREENDIMENTOS'!CD$11,0,IF(CB46='DADOS DOS EMPREENDIMENTOS'!CD$11,SUM(CD$41:CD46)*(1-'DADOS DOS EMPREENDIMENTOS'!#REF!-'DADOS DOS EMPREENDIMENTOS'!#REF!)+'DADOS DOS EMPREENDIMENTOS'!#REF!,IF(CB46='DADOS DOS EMPREENDIMENTOS'!CD$12,'DADOS DOS EMPREENDIMENTOS'!#REF!,CD46*(1-'DADOS DOS EMPREENDIMENTOS'!#REF!-'DADOS DOS EMPREENDIMENTOS'!#REF!))))</f>
        <v>#REF!</v>
      </c>
      <c r="CG46" s="46"/>
      <c r="CH46" s="26"/>
      <c r="CI46" s="8"/>
      <c r="CJ46" s="61"/>
    </row>
    <row r="47" spans="4:89" ht="12.75" customHeight="1" thickBot="1" x14ac:dyDescent="0.25">
      <c r="O47" s="39">
        <v>32</v>
      </c>
      <c r="P47" s="353" t="s">
        <v>286</v>
      </c>
      <c r="Q47" s="356">
        <f>VLOOKUP(P47,Apoio!C:E,2,0)</f>
        <v>221610</v>
      </c>
      <c r="R47" s="355">
        <v>220000</v>
      </c>
      <c r="S47" s="216">
        <v>5</v>
      </c>
      <c r="T47" s="46">
        <v>6</v>
      </c>
      <c r="U47" s="26"/>
      <c r="V47" s="8"/>
      <c r="W47" s="61"/>
      <c r="Y47" s="46">
        <v>6</v>
      </c>
      <c r="Z47" s="26"/>
      <c r="AA47" s="8"/>
      <c r="AB47" s="61"/>
      <c r="AD47" s="46">
        <v>6</v>
      </c>
      <c r="AE47" s="26">
        <v>40118</v>
      </c>
      <c r="AF47" s="8">
        <v>0</v>
      </c>
      <c r="AG47" s="61" t="e">
        <f>IF(AD47&lt;'DADOS DOS EMPREENDIMENTOS'!AF$11,0,IF(AD47='DADOS DOS EMPREENDIMENTOS'!AF$11,SUM(AF$41:AF47)*(1-'DADOS DOS EMPREENDIMENTOS'!#REF!-'DADOS DOS EMPREENDIMENTOS'!#REF!)+'DADOS DOS EMPREENDIMENTOS'!#REF!,IF(AD47='DADOS DOS EMPREENDIMENTOS'!#REF!,'DADOS DOS EMPREENDIMENTOS'!#REF!,AF47*(1-'DADOS DOS EMPREENDIMENTOS'!#REF!-'DADOS DOS EMPREENDIMENTOS'!#REF!))))</f>
        <v>#REF!</v>
      </c>
      <c r="AI47" s="46">
        <v>6</v>
      </c>
      <c r="AJ47" s="26">
        <v>40118</v>
      </c>
      <c r="AK47" s="8">
        <v>0</v>
      </c>
      <c r="AL47" s="61" t="e">
        <f>IF(AI47&lt;'DADOS DOS EMPREENDIMENTOS'!AK$11,0,IF(AI47='DADOS DOS EMPREENDIMENTOS'!AK$11,SUM(AK$41:AK47)*(1-'DADOS DOS EMPREENDIMENTOS'!#REF!-'DADOS DOS EMPREENDIMENTOS'!#REF!)+'DADOS DOS EMPREENDIMENTOS'!#REF!,IF(AI47='DADOS DOS EMPREENDIMENTOS'!#REF!,'DADOS DOS EMPREENDIMENTOS'!#REF!,AK47*(1-'DADOS DOS EMPREENDIMENTOS'!#REF!-'DADOS DOS EMPREENDIMENTOS'!#REF!))))</f>
        <v>#REF!</v>
      </c>
      <c r="AN47" s="46">
        <v>6</v>
      </c>
      <c r="AO47" s="26">
        <v>40118</v>
      </c>
      <c r="AP47" s="8">
        <v>0</v>
      </c>
      <c r="AQ47" s="61" t="e">
        <f>IF(AN47&lt;'DADOS DOS EMPREENDIMENTOS'!AP$11,0,IF(AN47='DADOS DOS EMPREENDIMENTOS'!AP$11,SUM(AP$41:AP47)*(1-'DADOS DOS EMPREENDIMENTOS'!#REF!-'DADOS DOS EMPREENDIMENTOS'!#REF!)+'DADOS DOS EMPREENDIMENTOS'!#REF!,IF(AN47='DADOS DOS EMPREENDIMENTOS'!#REF!,'DADOS DOS EMPREENDIMENTOS'!#REF!,AP47*(1-'DADOS DOS EMPREENDIMENTOS'!#REF!-'DADOS DOS EMPREENDIMENTOS'!#REF!))))</f>
        <v>#REF!</v>
      </c>
      <c r="AS47" s="46">
        <v>6</v>
      </c>
      <c r="AT47" s="26">
        <v>40118</v>
      </c>
      <c r="AU47" s="8">
        <v>0</v>
      </c>
      <c r="AV47" s="61" t="e">
        <f>IF(AS47&lt;'DADOS DOS EMPREENDIMENTOS'!AU$11,0,IF(AS47='DADOS DOS EMPREENDIMENTOS'!AU$11,SUM(AU$41:AU47)*(1-'DADOS DOS EMPREENDIMENTOS'!#REF!-'DADOS DOS EMPREENDIMENTOS'!#REF!)+'DADOS DOS EMPREENDIMENTOS'!#REF!,IF(AS47='DADOS DOS EMPREENDIMENTOS'!#REF!,'DADOS DOS EMPREENDIMENTOS'!#REF!,AU47*(1-'DADOS DOS EMPREENDIMENTOS'!#REF!-'DADOS DOS EMPREENDIMENTOS'!#REF!))))</f>
        <v>#REF!</v>
      </c>
      <c r="AX47" s="46">
        <v>6</v>
      </c>
      <c r="AY47" s="26">
        <v>40118</v>
      </c>
      <c r="AZ47" s="8">
        <v>0</v>
      </c>
      <c r="BA47" s="61" t="e">
        <f>IF(AX47&lt;'DADOS DOS EMPREENDIMENTOS'!AZ$11,0,IF(AX47='DADOS DOS EMPREENDIMENTOS'!AZ$11,SUM(AZ$41:AZ47)*(1-'DADOS DOS EMPREENDIMENTOS'!#REF!-'DADOS DOS EMPREENDIMENTOS'!#REF!)+'DADOS DOS EMPREENDIMENTOS'!#REF!,IF(AX47='DADOS DOS EMPREENDIMENTOS'!#REF!,'DADOS DOS EMPREENDIMENTOS'!#REF!,AZ47*(1-'DADOS DOS EMPREENDIMENTOS'!#REF!-'DADOS DOS EMPREENDIMENTOS'!#REF!))))</f>
        <v>#REF!</v>
      </c>
      <c r="BC47" s="46">
        <v>6</v>
      </c>
      <c r="BD47" s="26">
        <v>40118</v>
      </c>
      <c r="BE47" s="8">
        <v>0</v>
      </c>
      <c r="BF47" s="61" t="e">
        <f>IF(BC47&lt;'DADOS DOS EMPREENDIMENTOS'!BE$11,0,IF(BC47='DADOS DOS EMPREENDIMENTOS'!BE$11,SUM(BE$41:BE47)*(1-'DADOS DOS EMPREENDIMENTOS'!#REF!-'DADOS DOS EMPREENDIMENTOS'!#REF!)+'DADOS DOS EMPREENDIMENTOS'!#REF!,IF(BC47='DADOS DOS EMPREENDIMENTOS'!#REF!,'DADOS DOS EMPREENDIMENTOS'!#REF!,BE47*(1-'DADOS DOS EMPREENDIMENTOS'!#REF!-'DADOS DOS EMPREENDIMENTOS'!#REF!))))</f>
        <v>#REF!</v>
      </c>
      <c r="BH47" s="46">
        <v>6</v>
      </c>
      <c r="BI47" s="26">
        <v>40118</v>
      </c>
      <c r="BJ47" s="8">
        <v>0</v>
      </c>
      <c r="BK47" s="61" t="e">
        <f>IF(BH47&lt;'DADOS DOS EMPREENDIMENTOS'!BJ$11,0,IF(BH47='DADOS DOS EMPREENDIMENTOS'!BJ$11,SUM(BJ$41:BJ47)*(1-'DADOS DOS EMPREENDIMENTOS'!#REF!-'DADOS DOS EMPREENDIMENTOS'!#REF!)+'DADOS DOS EMPREENDIMENTOS'!#REF!,IF(BH47='DADOS DOS EMPREENDIMENTOS'!#REF!,'DADOS DOS EMPREENDIMENTOS'!#REF!,BJ47*(1-'DADOS DOS EMPREENDIMENTOS'!#REF!-'DADOS DOS EMPREENDIMENTOS'!#REF!))))</f>
        <v>#REF!</v>
      </c>
      <c r="BM47" s="46">
        <v>6</v>
      </c>
      <c r="BN47" s="26">
        <v>40118</v>
      </c>
      <c r="BO47" s="8">
        <v>0</v>
      </c>
      <c r="BP47" s="61" t="e">
        <f>IF(BM47&lt;'DADOS DOS EMPREENDIMENTOS'!BO$11,0,IF(BM47='DADOS DOS EMPREENDIMENTOS'!BO$11,SUM(BO$41:BO47)*(1-'DADOS DOS EMPREENDIMENTOS'!#REF!-'DADOS DOS EMPREENDIMENTOS'!#REF!)+'DADOS DOS EMPREENDIMENTOS'!#REF!,IF(BM47='DADOS DOS EMPREENDIMENTOS'!BO$12,'DADOS DOS EMPREENDIMENTOS'!#REF!,BO47*(1-'DADOS DOS EMPREENDIMENTOS'!#REF!-'DADOS DOS EMPREENDIMENTOS'!#REF!))))</f>
        <v>#REF!</v>
      </c>
      <c r="BR47" s="46">
        <v>6</v>
      </c>
      <c r="BS47" s="26">
        <v>40118</v>
      </c>
      <c r="BT47" s="8">
        <v>0</v>
      </c>
      <c r="BU47" s="61" t="e">
        <f>IF(BR47&lt;'DADOS DOS EMPREENDIMENTOS'!BT$11,0,IF(BR47='DADOS DOS EMPREENDIMENTOS'!BT$11,SUM(BT$41:BT47)*(1-'DADOS DOS EMPREENDIMENTOS'!#REF!-'DADOS DOS EMPREENDIMENTOS'!#REF!)+'DADOS DOS EMPREENDIMENTOS'!#REF!,IF(BR47='DADOS DOS EMPREENDIMENTOS'!BT$12,'DADOS DOS EMPREENDIMENTOS'!#REF!,BT47*(1-'DADOS DOS EMPREENDIMENTOS'!#REF!-'DADOS DOS EMPREENDIMENTOS'!#REF!))))</f>
        <v>#REF!</v>
      </c>
      <c r="BW47" s="46">
        <v>6</v>
      </c>
      <c r="BX47" s="26">
        <v>40118</v>
      </c>
      <c r="BY47" s="8">
        <v>0</v>
      </c>
      <c r="BZ47" s="61" t="e">
        <f>IF(BW47&lt;'DADOS DOS EMPREENDIMENTOS'!BY$11,0,IF(BW47='DADOS DOS EMPREENDIMENTOS'!BY$11,SUM(BY$41:BY47)*(1-'DADOS DOS EMPREENDIMENTOS'!#REF!-'DADOS DOS EMPREENDIMENTOS'!#REF!)+'DADOS DOS EMPREENDIMENTOS'!#REF!,IF(BW47='DADOS DOS EMPREENDIMENTOS'!BY$12,'DADOS DOS EMPREENDIMENTOS'!#REF!,BY47*(1-'DADOS DOS EMPREENDIMENTOS'!#REF!-'DADOS DOS EMPREENDIMENTOS'!#REF!))))</f>
        <v>#REF!</v>
      </c>
      <c r="CB47" s="46">
        <v>6</v>
      </c>
      <c r="CC47" s="26">
        <v>40118</v>
      </c>
      <c r="CD47" s="8">
        <v>0</v>
      </c>
      <c r="CE47" s="61" t="e">
        <f>IF(CB47&lt;'DADOS DOS EMPREENDIMENTOS'!CD$11,0,IF(CB47='DADOS DOS EMPREENDIMENTOS'!CD$11,SUM(CD$41:CD47)*(1-'DADOS DOS EMPREENDIMENTOS'!#REF!-'DADOS DOS EMPREENDIMENTOS'!#REF!)+'DADOS DOS EMPREENDIMENTOS'!#REF!,IF(CB47='DADOS DOS EMPREENDIMENTOS'!CD$12,'DADOS DOS EMPREENDIMENTOS'!#REF!,CD47*(1-'DADOS DOS EMPREENDIMENTOS'!#REF!-'DADOS DOS EMPREENDIMENTOS'!#REF!))))</f>
        <v>#REF!</v>
      </c>
      <c r="CG47" s="46"/>
      <c r="CH47" s="26"/>
      <c r="CI47" s="8"/>
      <c r="CJ47" s="61"/>
    </row>
    <row r="48" spans="4:89" ht="12.75" customHeight="1" thickBot="1" x14ac:dyDescent="0.25">
      <c r="O48" s="37">
        <v>33</v>
      </c>
      <c r="P48" s="353" t="s">
        <v>287</v>
      </c>
      <c r="Q48" s="356">
        <f>VLOOKUP(P48,Apoio!C:E,2,0)</f>
        <v>222500</v>
      </c>
      <c r="R48" s="355">
        <v>220000</v>
      </c>
      <c r="S48" s="216">
        <v>5</v>
      </c>
      <c r="T48" s="46">
        <v>7</v>
      </c>
      <c r="U48" s="26"/>
      <c r="V48" s="8"/>
      <c r="W48" s="61"/>
      <c r="Y48" s="46">
        <v>7</v>
      </c>
      <c r="Z48" s="26"/>
      <c r="AA48" s="8"/>
      <c r="AB48" s="61"/>
      <c r="AD48" s="46">
        <v>7</v>
      </c>
      <c r="AE48" s="26">
        <v>40148</v>
      </c>
      <c r="AF48" s="8">
        <v>1.570000040555336E-2</v>
      </c>
      <c r="AG48" s="61" t="e">
        <f>IF(AD48&lt;'DADOS DOS EMPREENDIMENTOS'!AF$11,0,IF(AD48='DADOS DOS EMPREENDIMENTOS'!AF$11,SUM(AF$41:AF48)*(1-'DADOS DOS EMPREENDIMENTOS'!#REF!-'DADOS DOS EMPREENDIMENTOS'!#REF!)+'DADOS DOS EMPREENDIMENTOS'!#REF!,IF(AD48='DADOS DOS EMPREENDIMENTOS'!#REF!,'DADOS DOS EMPREENDIMENTOS'!#REF!,AF48*(1-'DADOS DOS EMPREENDIMENTOS'!#REF!-'DADOS DOS EMPREENDIMENTOS'!#REF!))))</f>
        <v>#REF!</v>
      </c>
      <c r="AI48" s="46">
        <v>7</v>
      </c>
      <c r="AJ48" s="26">
        <v>40148</v>
      </c>
      <c r="AK48" s="8">
        <v>1.570000040555336E-2</v>
      </c>
      <c r="AL48" s="61" t="e">
        <f>IF(AI48&lt;'DADOS DOS EMPREENDIMENTOS'!AK$11,0,IF(AI48='DADOS DOS EMPREENDIMENTOS'!AK$11,SUM(AK$41:AK48)*(1-'DADOS DOS EMPREENDIMENTOS'!#REF!-'DADOS DOS EMPREENDIMENTOS'!#REF!)+'DADOS DOS EMPREENDIMENTOS'!#REF!,IF(AI48='DADOS DOS EMPREENDIMENTOS'!#REF!,'DADOS DOS EMPREENDIMENTOS'!#REF!,AK48*(1-'DADOS DOS EMPREENDIMENTOS'!#REF!-'DADOS DOS EMPREENDIMENTOS'!#REF!))))</f>
        <v>#REF!</v>
      </c>
      <c r="AN48" s="46">
        <v>7</v>
      </c>
      <c r="AO48" s="26">
        <v>40148</v>
      </c>
      <c r="AP48" s="8">
        <v>1.570000040555336E-2</v>
      </c>
      <c r="AQ48" s="61" t="e">
        <f>IF(AN48&lt;'DADOS DOS EMPREENDIMENTOS'!AP$11,0,IF(AN48='DADOS DOS EMPREENDIMENTOS'!AP$11,SUM(AP$41:AP48)*(1-'DADOS DOS EMPREENDIMENTOS'!#REF!-'DADOS DOS EMPREENDIMENTOS'!#REF!)+'DADOS DOS EMPREENDIMENTOS'!#REF!,IF(AN48='DADOS DOS EMPREENDIMENTOS'!#REF!,'DADOS DOS EMPREENDIMENTOS'!#REF!,AP48*(1-'DADOS DOS EMPREENDIMENTOS'!#REF!-'DADOS DOS EMPREENDIMENTOS'!#REF!))))</f>
        <v>#REF!</v>
      </c>
      <c r="AS48" s="46">
        <v>7</v>
      </c>
      <c r="AT48" s="26">
        <v>40148</v>
      </c>
      <c r="AU48" s="8">
        <v>1.570000040555336E-2</v>
      </c>
      <c r="AV48" s="61" t="e">
        <f>IF(AS48&lt;'DADOS DOS EMPREENDIMENTOS'!AU$11,0,IF(AS48='DADOS DOS EMPREENDIMENTOS'!AU$11,SUM(AU$41:AU48)*(1-'DADOS DOS EMPREENDIMENTOS'!#REF!-'DADOS DOS EMPREENDIMENTOS'!#REF!)+'DADOS DOS EMPREENDIMENTOS'!#REF!,IF(AS48='DADOS DOS EMPREENDIMENTOS'!#REF!,'DADOS DOS EMPREENDIMENTOS'!#REF!,AU48*(1-'DADOS DOS EMPREENDIMENTOS'!#REF!-'DADOS DOS EMPREENDIMENTOS'!#REF!))))</f>
        <v>#REF!</v>
      </c>
      <c r="AX48" s="46">
        <v>7</v>
      </c>
      <c r="AY48" s="26">
        <v>40148</v>
      </c>
      <c r="AZ48" s="8">
        <v>1.570000040555336E-2</v>
      </c>
      <c r="BA48" s="61" t="e">
        <f>IF(AX48&lt;'DADOS DOS EMPREENDIMENTOS'!AZ$11,0,IF(AX48='DADOS DOS EMPREENDIMENTOS'!AZ$11,SUM(AZ$41:AZ48)*(1-'DADOS DOS EMPREENDIMENTOS'!#REF!-'DADOS DOS EMPREENDIMENTOS'!#REF!)+'DADOS DOS EMPREENDIMENTOS'!#REF!,IF(AX48='DADOS DOS EMPREENDIMENTOS'!#REF!,'DADOS DOS EMPREENDIMENTOS'!#REF!,AZ48*(1-'DADOS DOS EMPREENDIMENTOS'!#REF!-'DADOS DOS EMPREENDIMENTOS'!#REF!))))</f>
        <v>#REF!</v>
      </c>
      <c r="BC48" s="46">
        <v>7</v>
      </c>
      <c r="BD48" s="26">
        <v>40148</v>
      </c>
      <c r="BE48" s="8">
        <v>1.570000040555336E-2</v>
      </c>
      <c r="BF48" s="61" t="e">
        <f>IF(BC48&lt;'DADOS DOS EMPREENDIMENTOS'!BE$11,0,IF(BC48='DADOS DOS EMPREENDIMENTOS'!BE$11,SUM(BE$41:BE48)*(1-'DADOS DOS EMPREENDIMENTOS'!#REF!-'DADOS DOS EMPREENDIMENTOS'!#REF!)+'DADOS DOS EMPREENDIMENTOS'!#REF!,IF(BC48='DADOS DOS EMPREENDIMENTOS'!#REF!,'DADOS DOS EMPREENDIMENTOS'!#REF!,BE48*(1-'DADOS DOS EMPREENDIMENTOS'!#REF!-'DADOS DOS EMPREENDIMENTOS'!#REF!))))</f>
        <v>#REF!</v>
      </c>
      <c r="BH48" s="46">
        <v>7</v>
      </c>
      <c r="BI48" s="26">
        <v>40148</v>
      </c>
      <c r="BJ48" s="8">
        <v>1.570000040555336E-2</v>
      </c>
      <c r="BK48" s="61" t="e">
        <f>IF(BH48&lt;'DADOS DOS EMPREENDIMENTOS'!BJ$11,0,IF(BH48='DADOS DOS EMPREENDIMENTOS'!BJ$11,SUM(BJ$41:BJ48)*(1-'DADOS DOS EMPREENDIMENTOS'!#REF!-'DADOS DOS EMPREENDIMENTOS'!#REF!)+'DADOS DOS EMPREENDIMENTOS'!#REF!,IF(BH48='DADOS DOS EMPREENDIMENTOS'!#REF!,'DADOS DOS EMPREENDIMENTOS'!#REF!,BJ48*(1-'DADOS DOS EMPREENDIMENTOS'!#REF!-'DADOS DOS EMPREENDIMENTOS'!#REF!))))</f>
        <v>#REF!</v>
      </c>
      <c r="BM48" s="46">
        <v>7</v>
      </c>
      <c r="BN48" s="26">
        <v>40148</v>
      </c>
      <c r="BO48" s="8">
        <v>1.570000040555336E-2</v>
      </c>
      <c r="BP48" s="61" t="e">
        <f>IF(BM48&lt;'DADOS DOS EMPREENDIMENTOS'!BO$11,0,IF(BM48='DADOS DOS EMPREENDIMENTOS'!BO$11,SUM(BO$41:BO48)*(1-'DADOS DOS EMPREENDIMENTOS'!#REF!-'DADOS DOS EMPREENDIMENTOS'!#REF!)+'DADOS DOS EMPREENDIMENTOS'!#REF!,IF(BM48='DADOS DOS EMPREENDIMENTOS'!BO$12,'DADOS DOS EMPREENDIMENTOS'!#REF!,BO48*(1-'DADOS DOS EMPREENDIMENTOS'!#REF!-'DADOS DOS EMPREENDIMENTOS'!#REF!))))</f>
        <v>#REF!</v>
      </c>
      <c r="BR48" s="46">
        <v>7</v>
      </c>
      <c r="BS48" s="26">
        <v>40148</v>
      </c>
      <c r="BT48" s="8">
        <v>1.570000040555336E-2</v>
      </c>
      <c r="BU48" s="61" t="e">
        <f>IF(BR48&lt;'DADOS DOS EMPREENDIMENTOS'!BT$11,0,IF(BR48='DADOS DOS EMPREENDIMENTOS'!BT$11,SUM(BT$41:BT48)*(1-'DADOS DOS EMPREENDIMENTOS'!#REF!-'DADOS DOS EMPREENDIMENTOS'!#REF!)+'DADOS DOS EMPREENDIMENTOS'!#REF!,IF(BR48='DADOS DOS EMPREENDIMENTOS'!BT$12,'DADOS DOS EMPREENDIMENTOS'!#REF!,BT48*(1-'DADOS DOS EMPREENDIMENTOS'!#REF!-'DADOS DOS EMPREENDIMENTOS'!#REF!))))</f>
        <v>#REF!</v>
      </c>
      <c r="BW48" s="46">
        <v>7</v>
      </c>
      <c r="BX48" s="26">
        <v>40148</v>
      </c>
      <c r="BY48" s="8">
        <v>1.570000040555336E-2</v>
      </c>
      <c r="BZ48" s="61" t="e">
        <f>IF(BW48&lt;'DADOS DOS EMPREENDIMENTOS'!BY$11,0,IF(BW48='DADOS DOS EMPREENDIMENTOS'!BY$11,SUM(BY$41:BY48)*(1-'DADOS DOS EMPREENDIMENTOS'!#REF!-'DADOS DOS EMPREENDIMENTOS'!#REF!)+'DADOS DOS EMPREENDIMENTOS'!#REF!,IF(BW48='DADOS DOS EMPREENDIMENTOS'!BY$12,'DADOS DOS EMPREENDIMENTOS'!#REF!,BY48*(1-'DADOS DOS EMPREENDIMENTOS'!#REF!-'DADOS DOS EMPREENDIMENTOS'!#REF!))))</f>
        <v>#REF!</v>
      </c>
      <c r="CB48" s="46">
        <v>7</v>
      </c>
      <c r="CC48" s="26">
        <v>40148</v>
      </c>
      <c r="CD48" s="8">
        <v>1.570000040555336E-2</v>
      </c>
      <c r="CE48" s="61" t="e">
        <f>IF(CB48&lt;'DADOS DOS EMPREENDIMENTOS'!CD$11,0,IF(CB48='DADOS DOS EMPREENDIMENTOS'!CD$11,SUM(CD$41:CD48)*(1-'DADOS DOS EMPREENDIMENTOS'!#REF!-'DADOS DOS EMPREENDIMENTOS'!#REF!)+'DADOS DOS EMPREENDIMENTOS'!#REF!,IF(CB48='DADOS DOS EMPREENDIMENTOS'!CD$12,'DADOS DOS EMPREENDIMENTOS'!#REF!,CD48*(1-'DADOS DOS EMPREENDIMENTOS'!#REF!-'DADOS DOS EMPREENDIMENTOS'!#REF!))))</f>
        <v>#REF!</v>
      </c>
      <c r="CG48" s="46"/>
      <c r="CH48" s="26"/>
      <c r="CI48" s="8"/>
      <c r="CJ48" s="61"/>
    </row>
    <row r="49" spans="15:88" ht="12.75" customHeight="1" thickBot="1" x14ac:dyDescent="0.25">
      <c r="O49" s="39">
        <v>34</v>
      </c>
      <c r="P49" s="353" t="s">
        <v>288</v>
      </c>
      <c r="Q49" s="356">
        <f>VLOOKUP(P49,Apoio!C:E,2,0)</f>
        <v>222500</v>
      </c>
      <c r="R49" s="355">
        <v>220000</v>
      </c>
      <c r="S49" s="216">
        <v>5</v>
      </c>
      <c r="T49" s="46">
        <v>8</v>
      </c>
      <c r="U49" s="26"/>
      <c r="V49" s="8"/>
      <c r="W49" s="61"/>
      <c r="Y49" s="46">
        <v>8</v>
      </c>
      <c r="Z49" s="26"/>
      <c r="AA49" s="8"/>
      <c r="AB49" s="61"/>
      <c r="AD49" s="46">
        <v>8</v>
      </c>
      <c r="AE49" s="26">
        <v>40179</v>
      </c>
      <c r="AF49" s="8">
        <v>4.6099999744609189E-2</v>
      </c>
      <c r="AG49" s="61" t="e">
        <f>IF(AD49&lt;'DADOS DOS EMPREENDIMENTOS'!AF$11,0,IF(AD49='DADOS DOS EMPREENDIMENTOS'!AF$11,SUM(AF$41:AF49)*(1-'DADOS DOS EMPREENDIMENTOS'!#REF!-'DADOS DOS EMPREENDIMENTOS'!#REF!)+'DADOS DOS EMPREENDIMENTOS'!#REF!,IF(AD49='DADOS DOS EMPREENDIMENTOS'!#REF!,'DADOS DOS EMPREENDIMENTOS'!#REF!,AF49*(1-'DADOS DOS EMPREENDIMENTOS'!#REF!-'DADOS DOS EMPREENDIMENTOS'!#REF!))))</f>
        <v>#REF!</v>
      </c>
      <c r="AI49" s="46">
        <v>8</v>
      </c>
      <c r="AJ49" s="26">
        <v>40179</v>
      </c>
      <c r="AK49" s="8">
        <v>4.6099999744609189E-2</v>
      </c>
      <c r="AL49" s="61" t="e">
        <f>IF(AI49&lt;'DADOS DOS EMPREENDIMENTOS'!AK$11,0,IF(AI49='DADOS DOS EMPREENDIMENTOS'!AK$11,SUM(AK$41:AK49)*(1-'DADOS DOS EMPREENDIMENTOS'!#REF!-'DADOS DOS EMPREENDIMENTOS'!#REF!)+'DADOS DOS EMPREENDIMENTOS'!#REF!,IF(AI49='DADOS DOS EMPREENDIMENTOS'!#REF!,'DADOS DOS EMPREENDIMENTOS'!#REF!,AK49*(1-'DADOS DOS EMPREENDIMENTOS'!#REF!-'DADOS DOS EMPREENDIMENTOS'!#REF!))))</f>
        <v>#REF!</v>
      </c>
      <c r="AN49" s="46">
        <v>8</v>
      </c>
      <c r="AO49" s="26">
        <v>40179</v>
      </c>
      <c r="AP49" s="8">
        <v>4.6099999744609189E-2</v>
      </c>
      <c r="AQ49" s="61" t="e">
        <f>IF(AN49&lt;'DADOS DOS EMPREENDIMENTOS'!AP$11,0,IF(AN49='DADOS DOS EMPREENDIMENTOS'!AP$11,SUM(AP$41:AP49)*(1-'DADOS DOS EMPREENDIMENTOS'!#REF!-'DADOS DOS EMPREENDIMENTOS'!#REF!)+'DADOS DOS EMPREENDIMENTOS'!#REF!,IF(AN49='DADOS DOS EMPREENDIMENTOS'!#REF!,'DADOS DOS EMPREENDIMENTOS'!#REF!,AP49*(1-'DADOS DOS EMPREENDIMENTOS'!#REF!-'DADOS DOS EMPREENDIMENTOS'!#REF!))))</f>
        <v>#REF!</v>
      </c>
      <c r="AS49" s="46">
        <v>8</v>
      </c>
      <c r="AT49" s="26">
        <v>40179</v>
      </c>
      <c r="AU49" s="8">
        <v>4.6099999744609189E-2</v>
      </c>
      <c r="AV49" s="61" t="e">
        <f>IF(AS49&lt;'DADOS DOS EMPREENDIMENTOS'!AU$11,0,IF(AS49='DADOS DOS EMPREENDIMENTOS'!AU$11,SUM(AU$41:AU49)*(1-'DADOS DOS EMPREENDIMENTOS'!#REF!-'DADOS DOS EMPREENDIMENTOS'!#REF!)+'DADOS DOS EMPREENDIMENTOS'!#REF!,IF(AS49='DADOS DOS EMPREENDIMENTOS'!#REF!,'DADOS DOS EMPREENDIMENTOS'!#REF!,AU49*(1-'DADOS DOS EMPREENDIMENTOS'!#REF!-'DADOS DOS EMPREENDIMENTOS'!#REF!))))</f>
        <v>#REF!</v>
      </c>
      <c r="AX49" s="46">
        <v>8</v>
      </c>
      <c r="AY49" s="26">
        <v>40179</v>
      </c>
      <c r="AZ49" s="8">
        <v>4.6099999744609189E-2</v>
      </c>
      <c r="BA49" s="61" t="e">
        <f>IF(AX49&lt;'DADOS DOS EMPREENDIMENTOS'!AZ$11,0,IF(AX49='DADOS DOS EMPREENDIMENTOS'!AZ$11,SUM(AZ$41:AZ49)*(1-'DADOS DOS EMPREENDIMENTOS'!#REF!-'DADOS DOS EMPREENDIMENTOS'!#REF!)+'DADOS DOS EMPREENDIMENTOS'!#REF!,IF(AX49='DADOS DOS EMPREENDIMENTOS'!#REF!,'DADOS DOS EMPREENDIMENTOS'!#REF!,AZ49*(1-'DADOS DOS EMPREENDIMENTOS'!#REF!-'DADOS DOS EMPREENDIMENTOS'!#REF!))))</f>
        <v>#REF!</v>
      </c>
      <c r="BC49" s="46">
        <v>8</v>
      </c>
      <c r="BD49" s="26">
        <v>40179</v>
      </c>
      <c r="BE49" s="8">
        <v>4.6099999744609189E-2</v>
      </c>
      <c r="BF49" s="61" t="e">
        <f>IF(BC49&lt;'DADOS DOS EMPREENDIMENTOS'!BE$11,0,IF(BC49='DADOS DOS EMPREENDIMENTOS'!BE$11,SUM(BE$41:BE49)*(1-'DADOS DOS EMPREENDIMENTOS'!#REF!-'DADOS DOS EMPREENDIMENTOS'!#REF!)+'DADOS DOS EMPREENDIMENTOS'!#REF!,IF(BC49='DADOS DOS EMPREENDIMENTOS'!#REF!,'DADOS DOS EMPREENDIMENTOS'!#REF!,BE49*(1-'DADOS DOS EMPREENDIMENTOS'!#REF!-'DADOS DOS EMPREENDIMENTOS'!#REF!))))</f>
        <v>#REF!</v>
      </c>
      <c r="BH49" s="46">
        <v>8</v>
      </c>
      <c r="BI49" s="26">
        <v>40179</v>
      </c>
      <c r="BJ49" s="8">
        <v>4.6099999744609189E-2</v>
      </c>
      <c r="BK49" s="61" t="e">
        <f>IF(BH49&lt;'DADOS DOS EMPREENDIMENTOS'!BJ$11,0,IF(BH49='DADOS DOS EMPREENDIMENTOS'!BJ$11,SUM(BJ$41:BJ49)*(1-'DADOS DOS EMPREENDIMENTOS'!#REF!-'DADOS DOS EMPREENDIMENTOS'!#REF!)+'DADOS DOS EMPREENDIMENTOS'!#REF!,IF(BH49='DADOS DOS EMPREENDIMENTOS'!#REF!,'DADOS DOS EMPREENDIMENTOS'!#REF!,BJ49*(1-'DADOS DOS EMPREENDIMENTOS'!#REF!-'DADOS DOS EMPREENDIMENTOS'!#REF!))))</f>
        <v>#REF!</v>
      </c>
      <c r="BM49" s="46">
        <v>8</v>
      </c>
      <c r="BN49" s="26">
        <v>40179</v>
      </c>
      <c r="BO49" s="8">
        <v>4.6099999744609189E-2</v>
      </c>
      <c r="BP49" s="61" t="e">
        <f>IF(BM49&lt;'DADOS DOS EMPREENDIMENTOS'!BO$11,0,IF(BM49='DADOS DOS EMPREENDIMENTOS'!BO$11,SUM(BO$41:BO49)*(1-'DADOS DOS EMPREENDIMENTOS'!#REF!-'DADOS DOS EMPREENDIMENTOS'!#REF!)+'DADOS DOS EMPREENDIMENTOS'!#REF!,IF(BM49='DADOS DOS EMPREENDIMENTOS'!BO$12,'DADOS DOS EMPREENDIMENTOS'!#REF!,BO49*(1-'DADOS DOS EMPREENDIMENTOS'!#REF!-'DADOS DOS EMPREENDIMENTOS'!#REF!))))</f>
        <v>#REF!</v>
      </c>
      <c r="BR49" s="46">
        <v>8</v>
      </c>
      <c r="BS49" s="26">
        <v>40179</v>
      </c>
      <c r="BT49" s="8">
        <v>4.6099999744609189E-2</v>
      </c>
      <c r="BU49" s="61" t="e">
        <f>IF(BR49&lt;'DADOS DOS EMPREENDIMENTOS'!BT$11,0,IF(BR49='DADOS DOS EMPREENDIMENTOS'!BT$11,SUM(BT$41:BT49)*(1-'DADOS DOS EMPREENDIMENTOS'!#REF!-'DADOS DOS EMPREENDIMENTOS'!#REF!)+'DADOS DOS EMPREENDIMENTOS'!#REF!,IF(BR49='DADOS DOS EMPREENDIMENTOS'!BT$12,'DADOS DOS EMPREENDIMENTOS'!#REF!,BT49*(1-'DADOS DOS EMPREENDIMENTOS'!#REF!-'DADOS DOS EMPREENDIMENTOS'!#REF!))))</f>
        <v>#REF!</v>
      </c>
      <c r="BW49" s="46">
        <v>8</v>
      </c>
      <c r="BX49" s="26">
        <v>40179</v>
      </c>
      <c r="BY49" s="8">
        <v>4.6099999744609189E-2</v>
      </c>
      <c r="BZ49" s="61" t="e">
        <f>IF(BW49&lt;'DADOS DOS EMPREENDIMENTOS'!BY$11,0,IF(BW49='DADOS DOS EMPREENDIMENTOS'!BY$11,SUM(BY$41:BY49)*(1-'DADOS DOS EMPREENDIMENTOS'!#REF!-'DADOS DOS EMPREENDIMENTOS'!#REF!)+'DADOS DOS EMPREENDIMENTOS'!#REF!,IF(BW49='DADOS DOS EMPREENDIMENTOS'!BY$12,'DADOS DOS EMPREENDIMENTOS'!#REF!,BY49*(1-'DADOS DOS EMPREENDIMENTOS'!#REF!-'DADOS DOS EMPREENDIMENTOS'!#REF!))))</f>
        <v>#REF!</v>
      </c>
      <c r="CB49" s="46">
        <v>8</v>
      </c>
      <c r="CC49" s="26">
        <v>40179</v>
      </c>
      <c r="CD49" s="8">
        <v>4.6099999744609189E-2</v>
      </c>
      <c r="CE49" s="61" t="e">
        <f>IF(CB49&lt;'DADOS DOS EMPREENDIMENTOS'!CD$11,0,IF(CB49='DADOS DOS EMPREENDIMENTOS'!CD$11,SUM(CD$41:CD49)*(1-'DADOS DOS EMPREENDIMENTOS'!#REF!-'DADOS DOS EMPREENDIMENTOS'!#REF!)+'DADOS DOS EMPREENDIMENTOS'!#REF!,IF(CB49='DADOS DOS EMPREENDIMENTOS'!CD$12,'DADOS DOS EMPREENDIMENTOS'!#REF!,CD49*(1-'DADOS DOS EMPREENDIMENTOS'!#REF!-'DADOS DOS EMPREENDIMENTOS'!#REF!))))</f>
        <v>#REF!</v>
      </c>
      <c r="CG49" s="46"/>
      <c r="CH49" s="26"/>
      <c r="CI49" s="8"/>
      <c r="CJ49" s="61"/>
    </row>
    <row r="50" spans="15:88" ht="12.75" customHeight="1" thickBot="1" x14ac:dyDescent="0.25">
      <c r="O50" s="37">
        <v>35</v>
      </c>
      <c r="P50" s="353" t="s">
        <v>289</v>
      </c>
      <c r="Q50" s="356">
        <f>VLOOKUP(P50,Apoio!C:E,2,0)</f>
        <v>221610</v>
      </c>
      <c r="R50" s="355">
        <v>220000</v>
      </c>
      <c r="S50" s="216">
        <v>5</v>
      </c>
      <c r="T50" s="46">
        <v>9</v>
      </c>
      <c r="U50" s="26"/>
      <c r="V50" s="8"/>
      <c r="W50" s="61"/>
      <c r="Y50" s="46">
        <v>9</v>
      </c>
      <c r="Z50" s="26"/>
      <c r="AA50" s="8"/>
      <c r="AB50" s="61"/>
      <c r="AD50" s="46">
        <v>9</v>
      </c>
      <c r="AE50" s="26">
        <v>40210</v>
      </c>
      <c r="AF50" s="8">
        <v>4.5700000205209423E-2</v>
      </c>
      <c r="AG50" s="61" t="e">
        <f>IF(AD50&lt;'DADOS DOS EMPREENDIMENTOS'!AF$11,0,IF(AD50='DADOS DOS EMPREENDIMENTOS'!AF$11,SUM(AF$41:AF50)*(1-'DADOS DOS EMPREENDIMENTOS'!#REF!-'DADOS DOS EMPREENDIMENTOS'!#REF!)+'DADOS DOS EMPREENDIMENTOS'!#REF!,IF(AD50='DADOS DOS EMPREENDIMENTOS'!#REF!,'DADOS DOS EMPREENDIMENTOS'!#REF!,AF50*(1-'DADOS DOS EMPREENDIMENTOS'!#REF!-'DADOS DOS EMPREENDIMENTOS'!#REF!))))</f>
        <v>#REF!</v>
      </c>
      <c r="AI50" s="46">
        <v>9</v>
      </c>
      <c r="AJ50" s="26">
        <v>40210</v>
      </c>
      <c r="AK50" s="8">
        <v>4.5700000205209423E-2</v>
      </c>
      <c r="AL50" s="61" t="e">
        <f>IF(AI50&lt;'DADOS DOS EMPREENDIMENTOS'!AK$11,0,IF(AI50='DADOS DOS EMPREENDIMENTOS'!AK$11,SUM(AK$41:AK50)*(1-'DADOS DOS EMPREENDIMENTOS'!#REF!-'DADOS DOS EMPREENDIMENTOS'!#REF!)+'DADOS DOS EMPREENDIMENTOS'!#REF!,IF(AI50='DADOS DOS EMPREENDIMENTOS'!#REF!,'DADOS DOS EMPREENDIMENTOS'!#REF!,AK50*(1-'DADOS DOS EMPREENDIMENTOS'!#REF!-'DADOS DOS EMPREENDIMENTOS'!#REF!))))</f>
        <v>#REF!</v>
      </c>
      <c r="AN50" s="46">
        <v>9</v>
      </c>
      <c r="AO50" s="26">
        <v>40210</v>
      </c>
      <c r="AP50" s="8">
        <v>4.5700000205209423E-2</v>
      </c>
      <c r="AQ50" s="61" t="e">
        <f>IF(AN50&lt;'DADOS DOS EMPREENDIMENTOS'!AP$11,0,IF(AN50='DADOS DOS EMPREENDIMENTOS'!AP$11,SUM(AP$41:AP50)*(1-'DADOS DOS EMPREENDIMENTOS'!#REF!-'DADOS DOS EMPREENDIMENTOS'!#REF!)+'DADOS DOS EMPREENDIMENTOS'!#REF!,IF(AN50='DADOS DOS EMPREENDIMENTOS'!#REF!,'DADOS DOS EMPREENDIMENTOS'!#REF!,AP50*(1-'DADOS DOS EMPREENDIMENTOS'!#REF!-'DADOS DOS EMPREENDIMENTOS'!#REF!))))</f>
        <v>#REF!</v>
      </c>
      <c r="AS50" s="46">
        <v>9</v>
      </c>
      <c r="AT50" s="26">
        <v>40210</v>
      </c>
      <c r="AU50" s="8">
        <v>4.5700000205209423E-2</v>
      </c>
      <c r="AV50" s="61" t="e">
        <f>IF(AS50&lt;'DADOS DOS EMPREENDIMENTOS'!AU$11,0,IF(AS50='DADOS DOS EMPREENDIMENTOS'!AU$11,SUM(AU$41:AU50)*(1-'DADOS DOS EMPREENDIMENTOS'!#REF!-'DADOS DOS EMPREENDIMENTOS'!#REF!)+'DADOS DOS EMPREENDIMENTOS'!#REF!,IF(AS50='DADOS DOS EMPREENDIMENTOS'!#REF!,'DADOS DOS EMPREENDIMENTOS'!#REF!,AU50*(1-'DADOS DOS EMPREENDIMENTOS'!#REF!-'DADOS DOS EMPREENDIMENTOS'!#REF!))))</f>
        <v>#REF!</v>
      </c>
      <c r="AX50" s="46">
        <v>9</v>
      </c>
      <c r="AY50" s="26">
        <v>40210</v>
      </c>
      <c r="AZ50" s="8">
        <v>4.5700000205209423E-2</v>
      </c>
      <c r="BA50" s="61" t="e">
        <f>IF(AX50&lt;'DADOS DOS EMPREENDIMENTOS'!AZ$11,0,IF(AX50='DADOS DOS EMPREENDIMENTOS'!AZ$11,SUM(AZ$41:AZ50)*(1-'DADOS DOS EMPREENDIMENTOS'!#REF!-'DADOS DOS EMPREENDIMENTOS'!#REF!)+'DADOS DOS EMPREENDIMENTOS'!#REF!,IF(AX50='DADOS DOS EMPREENDIMENTOS'!#REF!,'DADOS DOS EMPREENDIMENTOS'!#REF!,AZ50*(1-'DADOS DOS EMPREENDIMENTOS'!#REF!-'DADOS DOS EMPREENDIMENTOS'!#REF!))))</f>
        <v>#REF!</v>
      </c>
      <c r="BC50" s="46">
        <v>9</v>
      </c>
      <c r="BD50" s="26">
        <v>40210</v>
      </c>
      <c r="BE50" s="8">
        <v>4.5700000205209423E-2</v>
      </c>
      <c r="BF50" s="61" t="e">
        <f>IF(BC50&lt;'DADOS DOS EMPREENDIMENTOS'!BE$11,0,IF(BC50='DADOS DOS EMPREENDIMENTOS'!BE$11,SUM(BE$41:BE50)*(1-'DADOS DOS EMPREENDIMENTOS'!#REF!-'DADOS DOS EMPREENDIMENTOS'!#REF!)+'DADOS DOS EMPREENDIMENTOS'!#REF!,IF(BC50='DADOS DOS EMPREENDIMENTOS'!#REF!,'DADOS DOS EMPREENDIMENTOS'!#REF!,BE50*(1-'DADOS DOS EMPREENDIMENTOS'!#REF!-'DADOS DOS EMPREENDIMENTOS'!#REF!))))</f>
        <v>#REF!</v>
      </c>
      <c r="BH50" s="46">
        <v>9</v>
      </c>
      <c r="BI50" s="26">
        <v>40210</v>
      </c>
      <c r="BJ50" s="8">
        <v>4.5700000205209423E-2</v>
      </c>
      <c r="BK50" s="61" t="e">
        <f>IF(BH50&lt;'DADOS DOS EMPREENDIMENTOS'!BJ$11,0,IF(BH50='DADOS DOS EMPREENDIMENTOS'!BJ$11,SUM(BJ$41:BJ50)*(1-'DADOS DOS EMPREENDIMENTOS'!#REF!-'DADOS DOS EMPREENDIMENTOS'!#REF!)+'DADOS DOS EMPREENDIMENTOS'!#REF!,IF(BH50='DADOS DOS EMPREENDIMENTOS'!#REF!,'DADOS DOS EMPREENDIMENTOS'!#REF!,BJ50*(1-'DADOS DOS EMPREENDIMENTOS'!#REF!-'DADOS DOS EMPREENDIMENTOS'!#REF!))))</f>
        <v>#REF!</v>
      </c>
      <c r="BM50" s="46">
        <v>9</v>
      </c>
      <c r="BN50" s="26">
        <v>40210</v>
      </c>
      <c r="BO50" s="8">
        <v>4.5700000205209423E-2</v>
      </c>
      <c r="BP50" s="61" t="e">
        <f>IF(BM50&lt;'DADOS DOS EMPREENDIMENTOS'!BO$11,0,IF(BM50='DADOS DOS EMPREENDIMENTOS'!BO$11,SUM(BO$41:BO50)*(1-'DADOS DOS EMPREENDIMENTOS'!#REF!-'DADOS DOS EMPREENDIMENTOS'!#REF!)+'DADOS DOS EMPREENDIMENTOS'!#REF!,IF(BM50='DADOS DOS EMPREENDIMENTOS'!BO$12,'DADOS DOS EMPREENDIMENTOS'!#REF!,BO50*(1-'DADOS DOS EMPREENDIMENTOS'!#REF!-'DADOS DOS EMPREENDIMENTOS'!#REF!))))</f>
        <v>#REF!</v>
      </c>
      <c r="BR50" s="46">
        <v>9</v>
      </c>
      <c r="BS50" s="26">
        <v>40210</v>
      </c>
      <c r="BT50" s="8">
        <v>4.5700000205209423E-2</v>
      </c>
      <c r="BU50" s="61" t="e">
        <f>IF(BR50&lt;'DADOS DOS EMPREENDIMENTOS'!BT$11,0,IF(BR50='DADOS DOS EMPREENDIMENTOS'!BT$11,SUM(BT$41:BT50)*(1-'DADOS DOS EMPREENDIMENTOS'!#REF!-'DADOS DOS EMPREENDIMENTOS'!#REF!)+'DADOS DOS EMPREENDIMENTOS'!#REF!,IF(BR50='DADOS DOS EMPREENDIMENTOS'!BT$12,'DADOS DOS EMPREENDIMENTOS'!#REF!,BT50*(1-'DADOS DOS EMPREENDIMENTOS'!#REF!-'DADOS DOS EMPREENDIMENTOS'!#REF!))))</f>
        <v>#REF!</v>
      </c>
      <c r="BW50" s="46">
        <v>9</v>
      </c>
      <c r="BX50" s="26">
        <v>40210</v>
      </c>
      <c r="BY50" s="8">
        <v>4.5700000205209423E-2</v>
      </c>
      <c r="BZ50" s="61" t="e">
        <f>IF(BW50&lt;'DADOS DOS EMPREENDIMENTOS'!BY$11,0,IF(BW50='DADOS DOS EMPREENDIMENTOS'!BY$11,SUM(BY$41:BY50)*(1-'DADOS DOS EMPREENDIMENTOS'!#REF!-'DADOS DOS EMPREENDIMENTOS'!#REF!)+'DADOS DOS EMPREENDIMENTOS'!#REF!,IF(BW50='DADOS DOS EMPREENDIMENTOS'!BY$12,'DADOS DOS EMPREENDIMENTOS'!#REF!,BY50*(1-'DADOS DOS EMPREENDIMENTOS'!#REF!-'DADOS DOS EMPREENDIMENTOS'!#REF!))))</f>
        <v>#REF!</v>
      </c>
      <c r="CB50" s="46">
        <v>9</v>
      </c>
      <c r="CC50" s="26">
        <v>40210</v>
      </c>
      <c r="CD50" s="8">
        <v>4.5700000205209423E-2</v>
      </c>
      <c r="CE50" s="61" t="e">
        <f>IF(CB50&lt;'DADOS DOS EMPREENDIMENTOS'!CD$11,0,IF(CB50='DADOS DOS EMPREENDIMENTOS'!CD$11,SUM(CD$41:CD50)*(1-'DADOS DOS EMPREENDIMENTOS'!#REF!-'DADOS DOS EMPREENDIMENTOS'!#REF!)+'DADOS DOS EMPREENDIMENTOS'!#REF!,IF(CB50='DADOS DOS EMPREENDIMENTOS'!CD$12,'DADOS DOS EMPREENDIMENTOS'!#REF!,CD50*(1-'DADOS DOS EMPREENDIMENTOS'!#REF!-'DADOS DOS EMPREENDIMENTOS'!#REF!))))</f>
        <v>#REF!</v>
      </c>
      <c r="CG50" s="46"/>
      <c r="CH50" s="26"/>
      <c r="CI50" s="8"/>
      <c r="CJ50" s="61"/>
    </row>
    <row r="51" spans="15:88" ht="12.75" customHeight="1" thickBot="1" x14ac:dyDescent="0.25">
      <c r="O51" s="39">
        <v>36</v>
      </c>
      <c r="P51" s="353" t="s">
        <v>290</v>
      </c>
      <c r="Q51" s="356">
        <f>VLOOKUP(P51,Apoio!C:E,2,0)</f>
        <v>221610</v>
      </c>
      <c r="R51" s="355">
        <v>220000</v>
      </c>
      <c r="S51" s="216">
        <v>5</v>
      </c>
      <c r="T51" s="46">
        <v>10</v>
      </c>
      <c r="U51" s="26"/>
      <c r="V51" s="8"/>
      <c r="W51" s="61"/>
      <c r="Y51" s="46">
        <v>10</v>
      </c>
      <c r="Z51" s="26"/>
      <c r="AA51" s="8"/>
      <c r="AB51" s="61"/>
      <c r="AD51" s="46">
        <v>10</v>
      </c>
      <c r="AE51" s="26">
        <v>40238</v>
      </c>
      <c r="AF51" s="8">
        <v>4.9899999900495845E-2</v>
      </c>
      <c r="AG51" s="61" t="e">
        <f>IF(AD51&lt;'DADOS DOS EMPREENDIMENTOS'!AF$11,0,IF(AD51='DADOS DOS EMPREENDIMENTOS'!AF$11,SUM(AF$41:AF51)*(1-'DADOS DOS EMPREENDIMENTOS'!#REF!-'DADOS DOS EMPREENDIMENTOS'!#REF!)+'DADOS DOS EMPREENDIMENTOS'!#REF!,IF(AD51='DADOS DOS EMPREENDIMENTOS'!#REF!,'DADOS DOS EMPREENDIMENTOS'!#REF!,AF51*(1-'DADOS DOS EMPREENDIMENTOS'!#REF!-'DADOS DOS EMPREENDIMENTOS'!#REF!))))</f>
        <v>#REF!</v>
      </c>
      <c r="AI51" s="46">
        <v>10</v>
      </c>
      <c r="AJ51" s="26">
        <v>40238</v>
      </c>
      <c r="AK51" s="8">
        <v>4.9899999900495845E-2</v>
      </c>
      <c r="AL51" s="61" t="e">
        <f>IF(AI51&lt;'DADOS DOS EMPREENDIMENTOS'!AK$11,0,IF(AI51='DADOS DOS EMPREENDIMENTOS'!AK$11,SUM(AK$41:AK51)*(1-'DADOS DOS EMPREENDIMENTOS'!#REF!-'DADOS DOS EMPREENDIMENTOS'!#REF!)+'DADOS DOS EMPREENDIMENTOS'!#REF!,IF(AI51='DADOS DOS EMPREENDIMENTOS'!#REF!,'DADOS DOS EMPREENDIMENTOS'!#REF!,AK51*(1-'DADOS DOS EMPREENDIMENTOS'!#REF!-'DADOS DOS EMPREENDIMENTOS'!#REF!))))</f>
        <v>#REF!</v>
      </c>
      <c r="AN51" s="46">
        <v>10</v>
      </c>
      <c r="AO51" s="26">
        <v>40238</v>
      </c>
      <c r="AP51" s="8">
        <v>4.9899999900495845E-2</v>
      </c>
      <c r="AQ51" s="61" t="e">
        <f>IF(AN51&lt;'DADOS DOS EMPREENDIMENTOS'!AP$11,0,IF(AN51='DADOS DOS EMPREENDIMENTOS'!AP$11,SUM(AP$41:AP51)*(1-'DADOS DOS EMPREENDIMENTOS'!#REF!-'DADOS DOS EMPREENDIMENTOS'!#REF!)+'DADOS DOS EMPREENDIMENTOS'!#REF!,IF(AN51='DADOS DOS EMPREENDIMENTOS'!#REF!,'DADOS DOS EMPREENDIMENTOS'!#REF!,AP51*(1-'DADOS DOS EMPREENDIMENTOS'!#REF!-'DADOS DOS EMPREENDIMENTOS'!#REF!))))</f>
        <v>#REF!</v>
      </c>
      <c r="AS51" s="46">
        <v>10</v>
      </c>
      <c r="AT51" s="26">
        <v>40238</v>
      </c>
      <c r="AU51" s="8">
        <v>4.9899999900495845E-2</v>
      </c>
      <c r="AV51" s="61" t="e">
        <f>IF(AS51&lt;'DADOS DOS EMPREENDIMENTOS'!AU$11,0,IF(AS51='DADOS DOS EMPREENDIMENTOS'!AU$11,SUM(AU$41:AU51)*(1-'DADOS DOS EMPREENDIMENTOS'!#REF!-'DADOS DOS EMPREENDIMENTOS'!#REF!)+'DADOS DOS EMPREENDIMENTOS'!#REF!,IF(AS51='DADOS DOS EMPREENDIMENTOS'!#REF!,'DADOS DOS EMPREENDIMENTOS'!#REF!,AU51*(1-'DADOS DOS EMPREENDIMENTOS'!#REF!-'DADOS DOS EMPREENDIMENTOS'!#REF!))))</f>
        <v>#REF!</v>
      </c>
      <c r="AX51" s="46">
        <v>10</v>
      </c>
      <c r="AY51" s="26">
        <v>40238</v>
      </c>
      <c r="AZ51" s="8">
        <v>4.9899999900495845E-2</v>
      </c>
      <c r="BA51" s="61" t="e">
        <f>IF(AX51&lt;'DADOS DOS EMPREENDIMENTOS'!AZ$11,0,IF(AX51='DADOS DOS EMPREENDIMENTOS'!AZ$11,SUM(AZ$41:AZ51)*(1-'DADOS DOS EMPREENDIMENTOS'!#REF!-'DADOS DOS EMPREENDIMENTOS'!#REF!)+'DADOS DOS EMPREENDIMENTOS'!#REF!,IF(AX51='DADOS DOS EMPREENDIMENTOS'!#REF!,'DADOS DOS EMPREENDIMENTOS'!#REF!,AZ51*(1-'DADOS DOS EMPREENDIMENTOS'!#REF!-'DADOS DOS EMPREENDIMENTOS'!#REF!))))</f>
        <v>#REF!</v>
      </c>
      <c r="BC51" s="46">
        <v>10</v>
      </c>
      <c r="BD51" s="26">
        <v>40238</v>
      </c>
      <c r="BE51" s="8">
        <v>4.9899999900495845E-2</v>
      </c>
      <c r="BF51" s="61" t="e">
        <f>IF(BC51&lt;'DADOS DOS EMPREENDIMENTOS'!BE$11,0,IF(BC51='DADOS DOS EMPREENDIMENTOS'!BE$11,SUM(BE$41:BE51)*(1-'DADOS DOS EMPREENDIMENTOS'!#REF!-'DADOS DOS EMPREENDIMENTOS'!#REF!)+'DADOS DOS EMPREENDIMENTOS'!#REF!,IF(BC51='DADOS DOS EMPREENDIMENTOS'!#REF!,'DADOS DOS EMPREENDIMENTOS'!#REF!,BE51*(1-'DADOS DOS EMPREENDIMENTOS'!#REF!-'DADOS DOS EMPREENDIMENTOS'!#REF!))))</f>
        <v>#REF!</v>
      </c>
      <c r="BH51" s="46">
        <v>10</v>
      </c>
      <c r="BI51" s="26">
        <v>40238</v>
      </c>
      <c r="BJ51" s="8">
        <v>4.9899999900495845E-2</v>
      </c>
      <c r="BK51" s="61" t="e">
        <f>IF(BH51&lt;'DADOS DOS EMPREENDIMENTOS'!BJ$11,0,IF(BH51='DADOS DOS EMPREENDIMENTOS'!BJ$11,SUM(BJ$41:BJ51)*(1-'DADOS DOS EMPREENDIMENTOS'!#REF!-'DADOS DOS EMPREENDIMENTOS'!#REF!)+'DADOS DOS EMPREENDIMENTOS'!#REF!,IF(BH51='DADOS DOS EMPREENDIMENTOS'!#REF!,'DADOS DOS EMPREENDIMENTOS'!#REF!,BJ51*(1-'DADOS DOS EMPREENDIMENTOS'!#REF!-'DADOS DOS EMPREENDIMENTOS'!#REF!))))</f>
        <v>#REF!</v>
      </c>
      <c r="BM51" s="46">
        <v>10</v>
      </c>
      <c r="BN51" s="26">
        <v>40238</v>
      </c>
      <c r="BO51" s="8">
        <v>4.9899999900495845E-2</v>
      </c>
      <c r="BP51" s="61" t="e">
        <f>IF(BM51&lt;'DADOS DOS EMPREENDIMENTOS'!BO$11,0,IF(BM51='DADOS DOS EMPREENDIMENTOS'!BO$11,SUM(BO$41:BO51)*(1-'DADOS DOS EMPREENDIMENTOS'!#REF!-'DADOS DOS EMPREENDIMENTOS'!#REF!)+'DADOS DOS EMPREENDIMENTOS'!#REF!,IF(BM51='DADOS DOS EMPREENDIMENTOS'!BO$12,'DADOS DOS EMPREENDIMENTOS'!#REF!,BO51*(1-'DADOS DOS EMPREENDIMENTOS'!#REF!-'DADOS DOS EMPREENDIMENTOS'!#REF!))))</f>
        <v>#REF!</v>
      </c>
      <c r="BR51" s="46">
        <v>10</v>
      </c>
      <c r="BS51" s="26">
        <v>40238</v>
      </c>
      <c r="BT51" s="8">
        <v>4.9899999900495845E-2</v>
      </c>
      <c r="BU51" s="61" t="e">
        <f>IF(BR51&lt;'DADOS DOS EMPREENDIMENTOS'!BT$11,0,IF(BR51='DADOS DOS EMPREENDIMENTOS'!BT$11,SUM(BT$41:BT51)*(1-'DADOS DOS EMPREENDIMENTOS'!#REF!-'DADOS DOS EMPREENDIMENTOS'!#REF!)+'DADOS DOS EMPREENDIMENTOS'!#REF!,IF(BR51='DADOS DOS EMPREENDIMENTOS'!BT$12,'DADOS DOS EMPREENDIMENTOS'!#REF!,BT51*(1-'DADOS DOS EMPREENDIMENTOS'!#REF!-'DADOS DOS EMPREENDIMENTOS'!#REF!))))</f>
        <v>#REF!</v>
      </c>
      <c r="BW51" s="46">
        <v>10</v>
      </c>
      <c r="BX51" s="26">
        <v>40238</v>
      </c>
      <c r="BY51" s="8">
        <v>4.9899999900495845E-2</v>
      </c>
      <c r="BZ51" s="61" t="e">
        <f>IF(BW51&lt;'DADOS DOS EMPREENDIMENTOS'!BY$11,0,IF(BW51='DADOS DOS EMPREENDIMENTOS'!BY$11,SUM(BY$41:BY51)*(1-'DADOS DOS EMPREENDIMENTOS'!#REF!-'DADOS DOS EMPREENDIMENTOS'!#REF!)+'DADOS DOS EMPREENDIMENTOS'!#REF!,IF(BW51='DADOS DOS EMPREENDIMENTOS'!BY$12,'DADOS DOS EMPREENDIMENTOS'!#REF!,BY51*(1-'DADOS DOS EMPREENDIMENTOS'!#REF!-'DADOS DOS EMPREENDIMENTOS'!#REF!))))</f>
        <v>#REF!</v>
      </c>
      <c r="CB51" s="46">
        <v>10</v>
      </c>
      <c r="CC51" s="26">
        <v>40238</v>
      </c>
      <c r="CD51" s="8">
        <v>4.9899999900495845E-2</v>
      </c>
      <c r="CE51" s="61" t="e">
        <f>IF(CB51&lt;'DADOS DOS EMPREENDIMENTOS'!CD$11,0,IF(CB51='DADOS DOS EMPREENDIMENTOS'!CD$11,SUM(CD$41:CD51)*(1-'DADOS DOS EMPREENDIMENTOS'!#REF!-'DADOS DOS EMPREENDIMENTOS'!#REF!)+'DADOS DOS EMPREENDIMENTOS'!#REF!,IF(CB51='DADOS DOS EMPREENDIMENTOS'!CD$12,'DADOS DOS EMPREENDIMENTOS'!#REF!,CD51*(1-'DADOS DOS EMPREENDIMENTOS'!#REF!-'DADOS DOS EMPREENDIMENTOS'!#REF!))))</f>
        <v>#REF!</v>
      </c>
      <c r="CG51" s="46"/>
      <c r="CH51" s="26"/>
      <c r="CI51" s="8"/>
      <c r="CJ51" s="61"/>
    </row>
    <row r="52" spans="15:88" ht="12.75" customHeight="1" thickBot="1" x14ac:dyDescent="0.25">
      <c r="O52" s="37">
        <v>37</v>
      </c>
      <c r="P52" s="353" t="s">
        <v>291</v>
      </c>
      <c r="Q52" s="356">
        <f>VLOOKUP(P52,Apoio!C:E,2,0)</f>
        <v>222500</v>
      </c>
      <c r="R52" s="355">
        <v>220000</v>
      </c>
      <c r="S52" s="216">
        <v>5</v>
      </c>
      <c r="T52" s="46">
        <v>11</v>
      </c>
      <c r="U52" s="26"/>
      <c r="V52" s="8"/>
      <c r="W52" s="61"/>
      <c r="Y52" s="46">
        <v>11</v>
      </c>
      <c r="Z52" s="26"/>
      <c r="AA52" s="8"/>
      <c r="AB52" s="61"/>
      <c r="AD52" s="46">
        <v>11</v>
      </c>
      <c r="AE52" s="26">
        <v>40269</v>
      </c>
      <c r="AF52" s="8">
        <v>5.7199999961457637E-2</v>
      </c>
      <c r="AG52" s="61" t="e">
        <f>IF(AD52&lt;'DADOS DOS EMPREENDIMENTOS'!AF$11,0,IF(AD52='DADOS DOS EMPREENDIMENTOS'!AF$11,SUM(AF$41:AF52)*(1-'DADOS DOS EMPREENDIMENTOS'!#REF!-'DADOS DOS EMPREENDIMENTOS'!#REF!)+'DADOS DOS EMPREENDIMENTOS'!#REF!,IF(AD52='DADOS DOS EMPREENDIMENTOS'!#REF!,'DADOS DOS EMPREENDIMENTOS'!#REF!,AF52*(1-'DADOS DOS EMPREENDIMENTOS'!#REF!-'DADOS DOS EMPREENDIMENTOS'!#REF!))))</f>
        <v>#REF!</v>
      </c>
      <c r="AI52" s="46">
        <v>11</v>
      </c>
      <c r="AJ52" s="26">
        <v>40269</v>
      </c>
      <c r="AK52" s="8">
        <v>5.7199999961457637E-2</v>
      </c>
      <c r="AL52" s="61" t="e">
        <f>IF(AI52&lt;'DADOS DOS EMPREENDIMENTOS'!AK$11,0,IF(AI52='DADOS DOS EMPREENDIMENTOS'!AK$11,SUM(AK$41:AK52)*(1-'DADOS DOS EMPREENDIMENTOS'!#REF!-'DADOS DOS EMPREENDIMENTOS'!#REF!)+'DADOS DOS EMPREENDIMENTOS'!#REF!,IF(AI52='DADOS DOS EMPREENDIMENTOS'!#REF!,'DADOS DOS EMPREENDIMENTOS'!#REF!,AK52*(1-'DADOS DOS EMPREENDIMENTOS'!#REF!-'DADOS DOS EMPREENDIMENTOS'!#REF!))))</f>
        <v>#REF!</v>
      </c>
      <c r="AN52" s="46">
        <v>11</v>
      </c>
      <c r="AO52" s="26">
        <v>40269</v>
      </c>
      <c r="AP52" s="8">
        <v>5.7199999961457637E-2</v>
      </c>
      <c r="AQ52" s="61" t="e">
        <f>IF(AN52&lt;'DADOS DOS EMPREENDIMENTOS'!AP$11,0,IF(AN52='DADOS DOS EMPREENDIMENTOS'!AP$11,SUM(AP$41:AP52)*(1-'DADOS DOS EMPREENDIMENTOS'!#REF!-'DADOS DOS EMPREENDIMENTOS'!#REF!)+'DADOS DOS EMPREENDIMENTOS'!#REF!,IF(AN52='DADOS DOS EMPREENDIMENTOS'!#REF!,'DADOS DOS EMPREENDIMENTOS'!#REF!,AP52*(1-'DADOS DOS EMPREENDIMENTOS'!#REF!-'DADOS DOS EMPREENDIMENTOS'!#REF!))))</f>
        <v>#REF!</v>
      </c>
      <c r="AS52" s="46">
        <v>11</v>
      </c>
      <c r="AT52" s="26">
        <v>40269</v>
      </c>
      <c r="AU52" s="8">
        <v>5.7199999961457637E-2</v>
      </c>
      <c r="AV52" s="61" t="e">
        <f>IF(AS52&lt;'DADOS DOS EMPREENDIMENTOS'!AU$11,0,IF(AS52='DADOS DOS EMPREENDIMENTOS'!AU$11,SUM(AU$41:AU52)*(1-'DADOS DOS EMPREENDIMENTOS'!#REF!-'DADOS DOS EMPREENDIMENTOS'!#REF!)+'DADOS DOS EMPREENDIMENTOS'!#REF!,IF(AS52='DADOS DOS EMPREENDIMENTOS'!#REF!,'DADOS DOS EMPREENDIMENTOS'!#REF!,AU52*(1-'DADOS DOS EMPREENDIMENTOS'!#REF!-'DADOS DOS EMPREENDIMENTOS'!#REF!))))</f>
        <v>#REF!</v>
      </c>
      <c r="AX52" s="46">
        <v>11</v>
      </c>
      <c r="AY52" s="26">
        <v>40269</v>
      </c>
      <c r="AZ52" s="8">
        <v>5.7199999961457637E-2</v>
      </c>
      <c r="BA52" s="61" t="e">
        <f>IF(AX52&lt;'DADOS DOS EMPREENDIMENTOS'!AZ$11,0,IF(AX52='DADOS DOS EMPREENDIMENTOS'!AZ$11,SUM(AZ$41:AZ52)*(1-'DADOS DOS EMPREENDIMENTOS'!#REF!-'DADOS DOS EMPREENDIMENTOS'!#REF!)+'DADOS DOS EMPREENDIMENTOS'!#REF!,IF(AX52='DADOS DOS EMPREENDIMENTOS'!#REF!,'DADOS DOS EMPREENDIMENTOS'!#REF!,AZ52*(1-'DADOS DOS EMPREENDIMENTOS'!#REF!-'DADOS DOS EMPREENDIMENTOS'!#REF!))))</f>
        <v>#REF!</v>
      </c>
      <c r="BC52" s="46">
        <v>11</v>
      </c>
      <c r="BD52" s="26">
        <v>40269</v>
      </c>
      <c r="BE52" s="8">
        <v>5.7199999961457637E-2</v>
      </c>
      <c r="BF52" s="61" t="e">
        <f>IF(BC52&lt;'DADOS DOS EMPREENDIMENTOS'!BE$11,0,IF(BC52='DADOS DOS EMPREENDIMENTOS'!BE$11,SUM(BE$41:BE52)*(1-'DADOS DOS EMPREENDIMENTOS'!#REF!-'DADOS DOS EMPREENDIMENTOS'!#REF!)+'DADOS DOS EMPREENDIMENTOS'!#REF!,IF(BC52='DADOS DOS EMPREENDIMENTOS'!#REF!,'DADOS DOS EMPREENDIMENTOS'!#REF!,BE52*(1-'DADOS DOS EMPREENDIMENTOS'!#REF!-'DADOS DOS EMPREENDIMENTOS'!#REF!))))</f>
        <v>#REF!</v>
      </c>
      <c r="BH52" s="46">
        <v>11</v>
      </c>
      <c r="BI52" s="26">
        <v>40269</v>
      </c>
      <c r="BJ52" s="8">
        <v>5.7199999961457637E-2</v>
      </c>
      <c r="BK52" s="61" t="e">
        <f>IF(BH52&lt;'DADOS DOS EMPREENDIMENTOS'!BJ$11,0,IF(BH52='DADOS DOS EMPREENDIMENTOS'!BJ$11,SUM(BJ$41:BJ52)*(1-'DADOS DOS EMPREENDIMENTOS'!#REF!-'DADOS DOS EMPREENDIMENTOS'!#REF!)+'DADOS DOS EMPREENDIMENTOS'!#REF!,IF(BH52='DADOS DOS EMPREENDIMENTOS'!#REF!,'DADOS DOS EMPREENDIMENTOS'!#REF!,BJ52*(1-'DADOS DOS EMPREENDIMENTOS'!#REF!-'DADOS DOS EMPREENDIMENTOS'!#REF!))))</f>
        <v>#REF!</v>
      </c>
      <c r="BM52" s="46">
        <v>11</v>
      </c>
      <c r="BN52" s="26">
        <v>40269</v>
      </c>
      <c r="BO52" s="8">
        <v>5.7199999961457637E-2</v>
      </c>
      <c r="BP52" s="61" t="e">
        <f>IF(BM52&lt;'DADOS DOS EMPREENDIMENTOS'!BO$11,0,IF(BM52='DADOS DOS EMPREENDIMENTOS'!BO$11,SUM(BO$41:BO52)*(1-'DADOS DOS EMPREENDIMENTOS'!#REF!-'DADOS DOS EMPREENDIMENTOS'!#REF!)+'DADOS DOS EMPREENDIMENTOS'!#REF!,IF(BM52='DADOS DOS EMPREENDIMENTOS'!BO$12,'DADOS DOS EMPREENDIMENTOS'!#REF!,BO52*(1-'DADOS DOS EMPREENDIMENTOS'!#REF!-'DADOS DOS EMPREENDIMENTOS'!#REF!))))</f>
        <v>#REF!</v>
      </c>
      <c r="BR52" s="46">
        <v>11</v>
      </c>
      <c r="BS52" s="26">
        <v>40269</v>
      </c>
      <c r="BT52" s="8">
        <v>5.7199999961457637E-2</v>
      </c>
      <c r="BU52" s="61" t="e">
        <f>IF(BR52&lt;'DADOS DOS EMPREENDIMENTOS'!BT$11,0,IF(BR52='DADOS DOS EMPREENDIMENTOS'!BT$11,SUM(BT$41:BT52)*(1-'DADOS DOS EMPREENDIMENTOS'!#REF!-'DADOS DOS EMPREENDIMENTOS'!#REF!)+'DADOS DOS EMPREENDIMENTOS'!#REF!,IF(BR52='DADOS DOS EMPREENDIMENTOS'!BT$12,'DADOS DOS EMPREENDIMENTOS'!#REF!,BT52*(1-'DADOS DOS EMPREENDIMENTOS'!#REF!-'DADOS DOS EMPREENDIMENTOS'!#REF!))))</f>
        <v>#REF!</v>
      </c>
      <c r="BW52" s="46">
        <v>11</v>
      </c>
      <c r="BX52" s="26">
        <v>40269</v>
      </c>
      <c r="BY52" s="8">
        <v>5.7199999961457637E-2</v>
      </c>
      <c r="BZ52" s="61" t="e">
        <f>IF(BW52&lt;'DADOS DOS EMPREENDIMENTOS'!BY$11,0,IF(BW52='DADOS DOS EMPREENDIMENTOS'!BY$11,SUM(BY$41:BY52)*(1-'DADOS DOS EMPREENDIMENTOS'!#REF!-'DADOS DOS EMPREENDIMENTOS'!#REF!)+'DADOS DOS EMPREENDIMENTOS'!#REF!,IF(BW52='DADOS DOS EMPREENDIMENTOS'!BY$12,'DADOS DOS EMPREENDIMENTOS'!#REF!,BY52*(1-'DADOS DOS EMPREENDIMENTOS'!#REF!-'DADOS DOS EMPREENDIMENTOS'!#REF!))))</f>
        <v>#REF!</v>
      </c>
      <c r="CB52" s="46">
        <v>11</v>
      </c>
      <c r="CC52" s="26">
        <v>40269</v>
      </c>
      <c r="CD52" s="8">
        <v>5.7199999961457637E-2</v>
      </c>
      <c r="CE52" s="61" t="e">
        <f>IF(CB52&lt;'DADOS DOS EMPREENDIMENTOS'!CD$11,0,IF(CB52='DADOS DOS EMPREENDIMENTOS'!CD$11,SUM(CD$41:CD52)*(1-'DADOS DOS EMPREENDIMENTOS'!#REF!-'DADOS DOS EMPREENDIMENTOS'!#REF!)+'DADOS DOS EMPREENDIMENTOS'!#REF!,IF(CB52='DADOS DOS EMPREENDIMENTOS'!CD$12,'DADOS DOS EMPREENDIMENTOS'!#REF!,CD52*(1-'DADOS DOS EMPREENDIMENTOS'!#REF!-'DADOS DOS EMPREENDIMENTOS'!#REF!))))</f>
        <v>#REF!</v>
      </c>
      <c r="CG52" s="46"/>
      <c r="CH52" s="26"/>
      <c r="CI52" s="8"/>
      <c r="CJ52" s="61"/>
    </row>
    <row r="53" spans="15:88" ht="12.75" customHeight="1" thickBot="1" x14ac:dyDescent="0.25">
      <c r="O53" s="39">
        <v>38</v>
      </c>
      <c r="P53" s="353" t="s">
        <v>292</v>
      </c>
      <c r="Q53" s="356">
        <f>VLOOKUP(P53,Apoio!C:E,2,0)</f>
        <v>222500</v>
      </c>
      <c r="R53" s="355">
        <v>220000</v>
      </c>
      <c r="S53" s="216">
        <v>5</v>
      </c>
      <c r="T53" s="46">
        <v>12</v>
      </c>
      <c r="U53" s="26"/>
      <c r="V53" s="8"/>
      <c r="W53" s="61"/>
      <c r="Y53" s="46">
        <v>12</v>
      </c>
      <c r="Z53" s="26"/>
      <c r="AA53" s="8"/>
      <c r="AB53" s="61"/>
      <c r="AD53" s="46">
        <v>12</v>
      </c>
      <c r="AE53" s="26">
        <v>40299</v>
      </c>
      <c r="AF53" s="8">
        <v>6.7300000137283295E-2</v>
      </c>
      <c r="AG53" s="61" t="e">
        <f>IF(AD53&lt;'DADOS DOS EMPREENDIMENTOS'!AF$11,0,IF(AD53='DADOS DOS EMPREENDIMENTOS'!AF$11,SUM(AF$41:AF53)*(1-'DADOS DOS EMPREENDIMENTOS'!#REF!-'DADOS DOS EMPREENDIMENTOS'!#REF!)+'DADOS DOS EMPREENDIMENTOS'!#REF!,IF(AD53='DADOS DOS EMPREENDIMENTOS'!#REF!,'DADOS DOS EMPREENDIMENTOS'!#REF!,AF53*(1-'DADOS DOS EMPREENDIMENTOS'!#REF!-'DADOS DOS EMPREENDIMENTOS'!#REF!))))</f>
        <v>#REF!</v>
      </c>
      <c r="AI53" s="46">
        <v>12</v>
      </c>
      <c r="AJ53" s="26">
        <v>40299</v>
      </c>
      <c r="AK53" s="8">
        <v>6.7300000137283295E-2</v>
      </c>
      <c r="AL53" s="61" t="e">
        <f>IF(AI53&lt;'DADOS DOS EMPREENDIMENTOS'!AK$11,0,IF(AI53='DADOS DOS EMPREENDIMENTOS'!AK$11,SUM(AK$41:AK53)*(1-'DADOS DOS EMPREENDIMENTOS'!#REF!-'DADOS DOS EMPREENDIMENTOS'!#REF!)+'DADOS DOS EMPREENDIMENTOS'!#REF!,IF(AI53='DADOS DOS EMPREENDIMENTOS'!#REF!,'DADOS DOS EMPREENDIMENTOS'!#REF!,AK53*(1-'DADOS DOS EMPREENDIMENTOS'!#REF!-'DADOS DOS EMPREENDIMENTOS'!#REF!))))</f>
        <v>#REF!</v>
      </c>
      <c r="AN53" s="46">
        <v>12</v>
      </c>
      <c r="AO53" s="26">
        <v>40299</v>
      </c>
      <c r="AP53" s="8">
        <v>6.7300000137283295E-2</v>
      </c>
      <c r="AQ53" s="61" t="e">
        <f>IF(AN53&lt;'DADOS DOS EMPREENDIMENTOS'!AP$11,0,IF(AN53='DADOS DOS EMPREENDIMENTOS'!AP$11,SUM(AP$41:AP53)*(1-'DADOS DOS EMPREENDIMENTOS'!#REF!-'DADOS DOS EMPREENDIMENTOS'!#REF!)+'DADOS DOS EMPREENDIMENTOS'!#REF!,IF(AN53='DADOS DOS EMPREENDIMENTOS'!#REF!,'DADOS DOS EMPREENDIMENTOS'!#REF!,AP53*(1-'DADOS DOS EMPREENDIMENTOS'!#REF!-'DADOS DOS EMPREENDIMENTOS'!#REF!))))</f>
        <v>#REF!</v>
      </c>
      <c r="AS53" s="46">
        <v>12</v>
      </c>
      <c r="AT53" s="26">
        <v>40299</v>
      </c>
      <c r="AU53" s="8">
        <v>6.7300000137283295E-2</v>
      </c>
      <c r="AV53" s="61" t="e">
        <f>IF(AS53&lt;'DADOS DOS EMPREENDIMENTOS'!AU$11,0,IF(AS53='DADOS DOS EMPREENDIMENTOS'!AU$11,SUM(AU$41:AU53)*(1-'DADOS DOS EMPREENDIMENTOS'!#REF!-'DADOS DOS EMPREENDIMENTOS'!#REF!)+'DADOS DOS EMPREENDIMENTOS'!#REF!,IF(AS53='DADOS DOS EMPREENDIMENTOS'!#REF!,'DADOS DOS EMPREENDIMENTOS'!#REF!,AU53*(1-'DADOS DOS EMPREENDIMENTOS'!#REF!-'DADOS DOS EMPREENDIMENTOS'!#REF!))))</f>
        <v>#REF!</v>
      </c>
      <c r="AX53" s="46">
        <v>12</v>
      </c>
      <c r="AY53" s="26">
        <v>40299</v>
      </c>
      <c r="AZ53" s="8">
        <v>6.7300000137283295E-2</v>
      </c>
      <c r="BA53" s="61" t="e">
        <f>IF(AX53&lt;'DADOS DOS EMPREENDIMENTOS'!AZ$11,0,IF(AX53='DADOS DOS EMPREENDIMENTOS'!AZ$11,SUM(AZ$41:AZ53)*(1-'DADOS DOS EMPREENDIMENTOS'!#REF!-'DADOS DOS EMPREENDIMENTOS'!#REF!)+'DADOS DOS EMPREENDIMENTOS'!#REF!,IF(AX53='DADOS DOS EMPREENDIMENTOS'!#REF!,'DADOS DOS EMPREENDIMENTOS'!#REF!,AZ53*(1-'DADOS DOS EMPREENDIMENTOS'!#REF!-'DADOS DOS EMPREENDIMENTOS'!#REF!))))</f>
        <v>#REF!</v>
      </c>
      <c r="BC53" s="46">
        <v>12</v>
      </c>
      <c r="BD53" s="26">
        <v>40299</v>
      </c>
      <c r="BE53" s="8">
        <v>6.7300000137283295E-2</v>
      </c>
      <c r="BF53" s="61" t="e">
        <f>IF(BC53&lt;'DADOS DOS EMPREENDIMENTOS'!BE$11,0,IF(BC53='DADOS DOS EMPREENDIMENTOS'!BE$11,SUM(BE$41:BE53)*(1-'DADOS DOS EMPREENDIMENTOS'!#REF!-'DADOS DOS EMPREENDIMENTOS'!#REF!)+'DADOS DOS EMPREENDIMENTOS'!#REF!,IF(BC53='DADOS DOS EMPREENDIMENTOS'!#REF!,'DADOS DOS EMPREENDIMENTOS'!#REF!,BE53*(1-'DADOS DOS EMPREENDIMENTOS'!#REF!-'DADOS DOS EMPREENDIMENTOS'!#REF!))))</f>
        <v>#REF!</v>
      </c>
      <c r="BH53" s="46">
        <v>12</v>
      </c>
      <c r="BI53" s="26">
        <v>40299</v>
      </c>
      <c r="BJ53" s="8">
        <v>6.7300000137283295E-2</v>
      </c>
      <c r="BK53" s="61" t="e">
        <f>IF(BH53&lt;'DADOS DOS EMPREENDIMENTOS'!BJ$11,0,IF(BH53='DADOS DOS EMPREENDIMENTOS'!BJ$11,SUM(BJ$41:BJ53)*(1-'DADOS DOS EMPREENDIMENTOS'!#REF!-'DADOS DOS EMPREENDIMENTOS'!#REF!)+'DADOS DOS EMPREENDIMENTOS'!#REF!,IF(BH53='DADOS DOS EMPREENDIMENTOS'!#REF!,'DADOS DOS EMPREENDIMENTOS'!#REF!,BJ53*(1-'DADOS DOS EMPREENDIMENTOS'!#REF!-'DADOS DOS EMPREENDIMENTOS'!#REF!))))</f>
        <v>#REF!</v>
      </c>
      <c r="BM53" s="46">
        <v>12</v>
      </c>
      <c r="BN53" s="26">
        <v>40299</v>
      </c>
      <c r="BO53" s="8">
        <v>6.7300000137283295E-2</v>
      </c>
      <c r="BP53" s="61" t="e">
        <f>IF(BM53&lt;'DADOS DOS EMPREENDIMENTOS'!BO$11,0,IF(BM53='DADOS DOS EMPREENDIMENTOS'!BO$11,SUM(BO$41:BO53)*(1-'DADOS DOS EMPREENDIMENTOS'!#REF!-'DADOS DOS EMPREENDIMENTOS'!#REF!)+'DADOS DOS EMPREENDIMENTOS'!#REF!,IF(BM53='DADOS DOS EMPREENDIMENTOS'!BO$12,'DADOS DOS EMPREENDIMENTOS'!#REF!,BO53*(1-'DADOS DOS EMPREENDIMENTOS'!#REF!-'DADOS DOS EMPREENDIMENTOS'!#REF!))))</f>
        <v>#REF!</v>
      </c>
      <c r="BR53" s="46">
        <v>12</v>
      </c>
      <c r="BS53" s="26">
        <v>40299</v>
      </c>
      <c r="BT53" s="8">
        <v>6.7300000137283295E-2</v>
      </c>
      <c r="BU53" s="61" t="e">
        <f>IF(BR53&lt;'DADOS DOS EMPREENDIMENTOS'!BT$11,0,IF(BR53='DADOS DOS EMPREENDIMENTOS'!BT$11,SUM(BT$41:BT53)*(1-'DADOS DOS EMPREENDIMENTOS'!#REF!-'DADOS DOS EMPREENDIMENTOS'!#REF!)+'DADOS DOS EMPREENDIMENTOS'!#REF!,IF(BR53='DADOS DOS EMPREENDIMENTOS'!BT$12,'DADOS DOS EMPREENDIMENTOS'!#REF!,BT53*(1-'DADOS DOS EMPREENDIMENTOS'!#REF!-'DADOS DOS EMPREENDIMENTOS'!#REF!))))</f>
        <v>#REF!</v>
      </c>
      <c r="BW53" s="46">
        <v>12</v>
      </c>
      <c r="BX53" s="26">
        <v>40299</v>
      </c>
      <c r="BY53" s="8">
        <v>6.7300000137283295E-2</v>
      </c>
      <c r="BZ53" s="61" t="e">
        <f>IF(BW53&lt;'DADOS DOS EMPREENDIMENTOS'!BY$11,0,IF(BW53='DADOS DOS EMPREENDIMENTOS'!BY$11,SUM(BY$41:BY53)*(1-'DADOS DOS EMPREENDIMENTOS'!#REF!-'DADOS DOS EMPREENDIMENTOS'!#REF!)+'DADOS DOS EMPREENDIMENTOS'!#REF!,IF(BW53='DADOS DOS EMPREENDIMENTOS'!BY$12,'DADOS DOS EMPREENDIMENTOS'!#REF!,BY53*(1-'DADOS DOS EMPREENDIMENTOS'!#REF!-'DADOS DOS EMPREENDIMENTOS'!#REF!))))</f>
        <v>#REF!</v>
      </c>
      <c r="CB53" s="46">
        <v>12</v>
      </c>
      <c r="CC53" s="26">
        <v>40299</v>
      </c>
      <c r="CD53" s="8">
        <v>6.7300000137283295E-2</v>
      </c>
      <c r="CE53" s="61" t="e">
        <f>IF(CB53&lt;'DADOS DOS EMPREENDIMENTOS'!CD$11,0,IF(CB53='DADOS DOS EMPREENDIMENTOS'!CD$11,SUM(CD$41:CD53)*(1-'DADOS DOS EMPREENDIMENTOS'!#REF!-'DADOS DOS EMPREENDIMENTOS'!#REF!)+'DADOS DOS EMPREENDIMENTOS'!#REF!,IF(CB53='DADOS DOS EMPREENDIMENTOS'!CD$12,'DADOS DOS EMPREENDIMENTOS'!#REF!,CD53*(1-'DADOS DOS EMPREENDIMENTOS'!#REF!-'DADOS DOS EMPREENDIMENTOS'!#REF!))))</f>
        <v>#REF!</v>
      </c>
      <c r="CG53" s="46"/>
      <c r="CH53" s="26"/>
      <c r="CI53" s="8"/>
      <c r="CJ53" s="61"/>
    </row>
    <row r="54" spans="15:88" ht="12.75" customHeight="1" thickBot="1" x14ac:dyDescent="0.25">
      <c r="O54" s="37">
        <v>39</v>
      </c>
      <c r="P54" s="353" t="s">
        <v>293</v>
      </c>
      <c r="Q54" s="356">
        <f>VLOOKUP(P54,Apoio!C:E,2,0)</f>
        <v>221610</v>
      </c>
      <c r="R54" s="355">
        <v>220000</v>
      </c>
      <c r="S54" s="216">
        <v>5</v>
      </c>
      <c r="T54" s="46">
        <v>13</v>
      </c>
      <c r="U54" s="26"/>
      <c r="V54" s="8"/>
      <c r="W54" s="61"/>
      <c r="Y54" s="46">
        <v>13</v>
      </c>
      <c r="Z54" s="26"/>
      <c r="AA54" s="8"/>
      <c r="AB54" s="61"/>
      <c r="AD54" s="46">
        <v>13</v>
      </c>
      <c r="AE54" s="26">
        <v>40330</v>
      </c>
      <c r="AF54" s="8">
        <v>8.6299999962697868E-2</v>
      </c>
      <c r="AG54" s="61" t="e">
        <f>IF(AD54&lt;'DADOS DOS EMPREENDIMENTOS'!AF$11,0,IF(AD54='DADOS DOS EMPREENDIMENTOS'!AF$11,SUM(AF$41:AF54)*(1-'DADOS DOS EMPREENDIMENTOS'!#REF!-'DADOS DOS EMPREENDIMENTOS'!#REF!)+'DADOS DOS EMPREENDIMENTOS'!#REF!,IF(AD54='DADOS DOS EMPREENDIMENTOS'!#REF!,'DADOS DOS EMPREENDIMENTOS'!#REF!,AF54*(1-'DADOS DOS EMPREENDIMENTOS'!#REF!-'DADOS DOS EMPREENDIMENTOS'!#REF!))))</f>
        <v>#REF!</v>
      </c>
      <c r="AI54" s="46">
        <v>13</v>
      </c>
      <c r="AJ54" s="26">
        <v>40330</v>
      </c>
      <c r="AK54" s="8">
        <v>8.6299999962697868E-2</v>
      </c>
      <c r="AL54" s="61" t="e">
        <f>IF(AI54&lt;'DADOS DOS EMPREENDIMENTOS'!AK$11,0,IF(AI54='DADOS DOS EMPREENDIMENTOS'!AK$11,SUM(AK$41:AK54)*(1-'DADOS DOS EMPREENDIMENTOS'!#REF!-'DADOS DOS EMPREENDIMENTOS'!#REF!)+'DADOS DOS EMPREENDIMENTOS'!#REF!,IF(AI54='DADOS DOS EMPREENDIMENTOS'!#REF!,'DADOS DOS EMPREENDIMENTOS'!#REF!,AK54*(1-'DADOS DOS EMPREENDIMENTOS'!#REF!-'DADOS DOS EMPREENDIMENTOS'!#REF!))))</f>
        <v>#REF!</v>
      </c>
      <c r="AN54" s="46">
        <v>13</v>
      </c>
      <c r="AO54" s="26">
        <v>40330</v>
      </c>
      <c r="AP54" s="8">
        <v>8.6299999962697868E-2</v>
      </c>
      <c r="AQ54" s="61" t="e">
        <f>IF(AN54&lt;'DADOS DOS EMPREENDIMENTOS'!AP$11,0,IF(AN54='DADOS DOS EMPREENDIMENTOS'!AP$11,SUM(AP$41:AP54)*(1-'DADOS DOS EMPREENDIMENTOS'!#REF!-'DADOS DOS EMPREENDIMENTOS'!#REF!)+'DADOS DOS EMPREENDIMENTOS'!#REF!,IF(AN54='DADOS DOS EMPREENDIMENTOS'!#REF!,'DADOS DOS EMPREENDIMENTOS'!#REF!,AP54*(1-'DADOS DOS EMPREENDIMENTOS'!#REF!-'DADOS DOS EMPREENDIMENTOS'!#REF!))))</f>
        <v>#REF!</v>
      </c>
      <c r="AS54" s="46">
        <v>13</v>
      </c>
      <c r="AT54" s="26">
        <v>40330</v>
      </c>
      <c r="AU54" s="8">
        <v>8.6299999962697868E-2</v>
      </c>
      <c r="AV54" s="61" t="e">
        <f>IF(AS54&lt;'DADOS DOS EMPREENDIMENTOS'!AU$11,0,IF(AS54='DADOS DOS EMPREENDIMENTOS'!AU$11,SUM(AU$41:AU54)*(1-'DADOS DOS EMPREENDIMENTOS'!#REF!-'DADOS DOS EMPREENDIMENTOS'!#REF!)+'DADOS DOS EMPREENDIMENTOS'!#REF!,IF(AS54='DADOS DOS EMPREENDIMENTOS'!#REF!,'DADOS DOS EMPREENDIMENTOS'!#REF!,AU54*(1-'DADOS DOS EMPREENDIMENTOS'!#REF!-'DADOS DOS EMPREENDIMENTOS'!#REF!))))</f>
        <v>#REF!</v>
      </c>
      <c r="AX54" s="46">
        <v>13</v>
      </c>
      <c r="AY54" s="26">
        <v>40330</v>
      </c>
      <c r="AZ54" s="8">
        <v>8.6299999962697868E-2</v>
      </c>
      <c r="BA54" s="61" t="e">
        <f>IF(AX54&lt;'DADOS DOS EMPREENDIMENTOS'!AZ$11,0,IF(AX54='DADOS DOS EMPREENDIMENTOS'!AZ$11,SUM(AZ$41:AZ54)*(1-'DADOS DOS EMPREENDIMENTOS'!#REF!-'DADOS DOS EMPREENDIMENTOS'!#REF!)+'DADOS DOS EMPREENDIMENTOS'!#REF!,IF(AX54='DADOS DOS EMPREENDIMENTOS'!#REF!,'DADOS DOS EMPREENDIMENTOS'!#REF!,AZ54*(1-'DADOS DOS EMPREENDIMENTOS'!#REF!-'DADOS DOS EMPREENDIMENTOS'!#REF!))))</f>
        <v>#REF!</v>
      </c>
      <c r="BC54" s="46">
        <v>13</v>
      </c>
      <c r="BD54" s="26">
        <v>40330</v>
      </c>
      <c r="BE54" s="8">
        <v>8.6299999962697868E-2</v>
      </c>
      <c r="BF54" s="61" t="e">
        <f>IF(BC54&lt;'DADOS DOS EMPREENDIMENTOS'!BE$11,0,IF(BC54='DADOS DOS EMPREENDIMENTOS'!BE$11,SUM(BE$41:BE54)*(1-'DADOS DOS EMPREENDIMENTOS'!#REF!-'DADOS DOS EMPREENDIMENTOS'!#REF!)+'DADOS DOS EMPREENDIMENTOS'!#REF!,IF(BC54='DADOS DOS EMPREENDIMENTOS'!#REF!,'DADOS DOS EMPREENDIMENTOS'!#REF!,BE54*(1-'DADOS DOS EMPREENDIMENTOS'!#REF!-'DADOS DOS EMPREENDIMENTOS'!#REF!))))</f>
        <v>#REF!</v>
      </c>
      <c r="BH54" s="46">
        <v>13</v>
      </c>
      <c r="BI54" s="26">
        <v>40330</v>
      </c>
      <c r="BJ54" s="8">
        <v>8.6299999962697868E-2</v>
      </c>
      <c r="BK54" s="61" t="e">
        <f>IF(BH54&lt;'DADOS DOS EMPREENDIMENTOS'!BJ$11,0,IF(BH54='DADOS DOS EMPREENDIMENTOS'!BJ$11,SUM(BJ$41:BJ54)*(1-'DADOS DOS EMPREENDIMENTOS'!#REF!-'DADOS DOS EMPREENDIMENTOS'!#REF!)+'DADOS DOS EMPREENDIMENTOS'!#REF!,IF(BH54='DADOS DOS EMPREENDIMENTOS'!#REF!,'DADOS DOS EMPREENDIMENTOS'!#REF!,BJ54*(1-'DADOS DOS EMPREENDIMENTOS'!#REF!-'DADOS DOS EMPREENDIMENTOS'!#REF!))))</f>
        <v>#REF!</v>
      </c>
      <c r="BM54" s="46">
        <v>13</v>
      </c>
      <c r="BN54" s="26">
        <v>40330</v>
      </c>
      <c r="BO54" s="8">
        <v>8.6299999962697868E-2</v>
      </c>
      <c r="BP54" s="61" t="e">
        <f>IF(BM54&lt;'DADOS DOS EMPREENDIMENTOS'!BO$11,0,IF(BM54='DADOS DOS EMPREENDIMENTOS'!BO$11,SUM(BO$41:BO54)*(1-'DADOS DOS EMPREENDIMENTOS'!#REF!-'DADOS DOS EMPREENDIMENTOS'!#REF!)+'DADOS DOS EMPREENDIMENTOS'!#REF!,IF(BM54='DADOS DOS EMPREENDIMENTOS'!BO$12,'DADOS DOS EMPREENDIMENTOS'!#REF!,BO54*(1-'DADOS DOS EMPREENDIMENTOS'!#REF!-'DADOS DOS EMPREENDIMENTOS'!#REF!))))</f>
        <v>#REF!</v>
      </c>
      <c r="BR54" s="46">
        <v>13</v>
      </c>
      <c r="BS54" s="26">
        <v>40330</v>
      </c>
      <c r="BT54" s="8">
        <v>8.6299999962697868E-2</v>
      </c>
      <c r="BU54" s="61" t="e">
        <f>IF(BR54&lt;'DADOS DOS EMPREENDIMENTOS'!BT$11,0,IF(BR54='DADOS DOS EMPREENDIMENTOS'!BT$11,SUM(BT$41:BT54)*(1-'DADOS DOS EMPREENDIMENTOS'!#REF!-'DADOS DOS EMPREENDIMENTOS'!#REF!)+'DADOS DOS EMPREENDIMENTOS'!#REF!,IF(BR54='DADOS DOS EMPREENDIMENTOS'!BT$12,'DADOS DOS EMPREENDIMENTOS'!#REF!,BT54*(1-'DADOS DOS EMPREENDIMENTOS'!#REF!-'DADOS DOS EMPREENDIMENTOS'!#REF!))))</f>
        <v>#REF!</v>
      </c>
      <c r="BW54" s="46">
        <v>13</v>
      </c>
      <c r="BX54" s="26">
        <v>40330</v>
      </c>
      <c r="BY54" s="8">
        <v>8.6299999962697868E-2</v>
      </c>
      <c r="BZ54" s="61" t="e">
        <f>IF(BW54&lt;'DADOS DOS EMPREENDIMENTOS'!BY$11,0,IF(BW54='DADOS DOS EMPREENDIMENTOS'!BY$11,SUM(BY$41:BY54)*(1-'DADOS DOS EMPREENDIMENTOS'!#REF!-'DADOS DOS EMPREENDIMENTOS'!#REF!)+'DADOS DOS EMPREENDIMENTOS'!#REF!,IF(BW54='DADOS DOS EMPREENDIMENTOS'!BY$12,'DADOS DOS EMPREENDIMENTOS'!#REF!,BY54*(1-'DADOS DOS EMPREENDIMENTOS'!#REF!-'DADOS DOS EMPREENDIMENTOS'!#REF!))))</f>
        <v>#REF!</v>
      </c>
      <c r="CB54" s="46">
        <v>13</v>
      </c>
      <c r="CC54" s="26">
        <v>40330</v>
      </c>
      <c r="CD54" s="8">
        <v>8.6299999962697868E-2</v>
      </c>
      <c r="CE54" s="61" t="e">
        <f>IF(CB54&lt;'DADOS DOS EMPREENDIMENTOS'!CD$11,0,IF(CB54='DADOS DOS EMPREENDIMENTOS'!CD$11,SUM(CD$41:CD54)*(1-'DADOS DOS EMPREENDIMENTOS'!#REF!-'DADOS DOS EMPREENDIMENTOS'!#REF!)+'DADOS DOS EMPREENDIMENTOS'!#REF!,IF(CB54='DADOS DOS EMPREENDIMENTOS'!CD$12,'DADOS DOS EMPREENDIMENTOS'!#REF!,CD54*(1-'DADOS DOS EMPREENDIMENTOS'!#REF!-'DADOS DOS EMPREENDIMENTOS'!#REF!))))</f>
        <v>#REF!</v>
      </c>
      <c r="CG54" s="46"/>
      <c r="CH54" s="26"/>
      <c r="CI54" s="8"/>
      <c r="CJ54" s="61"/>
    </row>
    <row r="55" spans="15:88" ht="12.75" customHeight="1" thickBot="1" x14ac:dyDescent="0.25">
      <c r="O55" s="39">
        <v>40</v>
      </c>
      <c r="P55" s="353" t="s">
        <v>294</v>
      </c>
      <c r="Q55" s="356">
        <f>VLOOKUP(P55,Apoio!C:E,2,0)</f>
        <v>222850</v>
      </c>
      <c r="R55" s="355">
        <v>220000</v>
      </c>
      <c r="S55" s="216">
        <v>5</v>
      </c>
      <c r="T55" s="46">
        <v>14</v>
      </c>
      <c r="U55" s="26"/>
      <c r="V55" s="8"/>
      <c r="W55" s="61"/>
      <c r="Y55" s="46">
        <v>14</v>
      </c>
      <c r="Z55" s="26"/>
      <c r="AA55" s="8"/>
      <c r="AB55" s="61"/>
      <c r="AD55" s="46">
        <v>14</v>
      </c>
      <c r="AE55" s="26">
        <v>40360</v>
      </c>
      <c r="AF55" s="8">
        <v>9.7599999710741514E-2</v>
      </c>
      <c r="AG55" s="61" t="e">
        <f>IF(AD55&lt;'DADOS DOS EMPREENDIMENTOS'!AF$11,0,IF(AD55='DADOS DOS EMPREENDIMENTOS'!AF$11,SUM(AF$41:AF55)*(1-'DADOS DOS EMPREENDIMENTOS'!#REF!-'DADOS DOS EMPREENDIMENTOS'!#REF!)+'DADOS DOS EMPREENDIMENTOS'!#REF!,IF(AD55='DADOS DOS EMPREENDIMENTOS'!#REF!,'DADOS DOS EMPREENDIMENTOS'!#REF!,AF55*(1-'DADOS DOS EMPREENDIMENTOS'!#REF!-'DADOS DOS EMPREENDIMENTOS'!#REF!))))</f>
        <v>#REF!</v>
      </c>
      <c r="AI55" s="46">
        <v>14</v>
      </c>
      <c r="AJ55" s="26">
        <v>40360</v>
      </c>
      <c r="AK55" s="8">
        <v>9.7599999710741514E-2</v>
      </c>
      <c r="AL55" s="61" t="e">
        <f>IF(AI55&lt;'DADOS DOS EMPREENDIMENTOS'!AK$11,0,IF(AI55='DADOS DOS EMPREENDIMENTOS'!AK$11,SUM(AK$41:AK55)*(1-'DADOS DOS EMPREENDIMENTOS'!#REF!-'DADOS DOS EMPREENDIMENTOS'!#REF!)+'DADOS DOS EMPREENDIMENTOS'!#REF!,IF(AI55='DADOS DOS EMPREENDIMENTOS'!#REF!,'DADOS DOS EMPREENDIMENTOS'!#REF!,AK55*(1-'DADOS DOS EMPREENDIMENTOS'!#REF!-'DADOS DOS EMPREENDIMENTOS'!#REF!))))</f>
        <v>#REF!</v>
      </c>
      <c r="AN55" s="46">
        <v>14</v>
      </c>
      <c r="AO55" s="26">
        <v>40360</v>
      </c>
      <c r="AP55" s="8">
        <v>9.7599999710741514E-2</v>
      </c>
      <c r="AQ55" s="61" t="e">
        <f>IF(AN55&lt;'DADOS DOS EMPREENDIMENTOS'!AP$11,0,IF(AN55='DADOS DOS EMPREENDIMENTOS'!AP$11,SUM(AP$41:AP55)*(1-'DADOS DOS EMPREENDIMENTOS'!#REF!-'DADOS DOS EMPREENDIMENTOS'!#REF!)+'DADOS DOS EMPREENDIMENTOS'!#REF!,IF(AN55='DADOS DOS EMPREENDIMENTOS'!#REF!,'DADOS DOS EMPREENDIMENTOS'!#REF!,AP55*(1-'DADOS DOS EMPREENDIMENTOS'!#REF!-'DADOS DOS EMPREENDIMENTOS'!#REF!))))</f>
        <v>#REF!</v>
      </c>
      <c r="AS55" s="46">
        <v>14</v>
      </c>
      <c r="AT55" s="26">
        <v>40360</v>
      </c>
      <c r="AU55" s="8">
        <v>9.7599999710741514E-2</v>
      </c>
      <c r="AV55" s="61" t="e">
        <f>IF(AS55&lt;'DADOS DOS EMPREENDIMENTOS'!AU$11,0,IF(AS55='DADOS DOS EMPREENDIMENTOS'!AU$11,SUM(AU$41:AU55)*(1-'DADOS DOS EMPREENDIMENTOS'!#REF!-'DADOS DOS EMPREENDIMENTOS'!#REF!)+'DADOS DOS EMPREENDIMENTOS'!#REF!,IF(AS55='DADOS DOS EMPREENDIMENTOS'!#REF!,'DADOS DOS EMPREENDIMENTOS'!#REF!,AU55*(1-'DADOS DOS EMPREENDIMENTOS'!#REF!-'DADOS DOS EMPREENDIMENTOS'!#REF!))))</f>
        <v>#REF!</v>
      </c>
      <c r="AX55" s="46">
        <v>14</v>
      </c>
      <c r="AY55" s="26">
        <v>40360</v>
      </c>
      <c r="AZ55" s="8">
        <v>9.7599999710741514E-2</v>
      </c>
      <c r="BA55" s="61" t="e">
        <f>IF(AX55&lt;'DADOS DOS EMPREENDIMENTOS'!AZ$11,0,IF(AX55='DADOS DOS EMPREENDIMENTOS'!AZ$11,SUM(AZ$41:AZ55)*(1-'DADOS DOS EMPREENDIMENTOS'!#REF!-'DADOS DOS EMPREENDIMENTOS'!#REF!)+'DADOS DOS EMPREENDIMENTOS'!#REF!,IF(AX55='DADOS DOS EMPREENDIMENTOS'!#REF!,'DADOS DOS EMPREENDIMENTOS'!#REF!,AZ55*(1-'DADOS DOS EMPREENDIMENTOS'!#REF!-'DADOS DOS EMPREENDIMENTOS'!#REF!))))</f>
        <v>#REF!</v>
      </c>
      <c r="BC55" s="46">
        <v>14</v>
      </c>
      <c r="BD55" s="26">
        <v>40360</v>
      </c>
      <c r="BE55" s="8">
        <v>9.7599999710741514E-2</v>
      </c>
      <c r="BF55" s="61" t="e">
        <f>IF(BC55&lt;'DADOS DOS EMPREENDIMENTOS'!BE$11,0,IF(BC55='DADOS DOS EMPREENDIMENTOS'!BE$11,SUM(BE$41:BE55)*(1-'DADOS DOS EMPREENDIMENTOS'!#REF!-'DADOS DOS EMPREENDIMENTOS'!#REF!)+'DADOS DOS EMPREENDIMENTOS'!#REF!,IF(BC55='DADOS DOS EMPREENDIMENTOS'!#REF!,'DADOS DOS EMPREENDIMENTOS'!#REF!,BE55*(1-'DADOS DOS EMPREENDIMENTOS'!#REF!-'DADOS DOS EMPREENDIMENTOS'!#REF!))))</f>
        <v>#REF!</v>
      </c>
      <c r="BH55" s="46">
        <v>14</v>
      </c>
      <c r="BI55" s="26">
        <v>40360</v>
      </c>
      <c r="BJ55" s="8">
        <v>9.7599999710741514E-2</v>
      </c>
      <c r="BK55" s="61" t="e">
        <f>IF(BH55&lt;'DADOS DOS EMPREENDIMENTOS'!BJ$11,0,IF(BH55='DADOS DOS EMPREENDIMENTOS'!BJ$11,SUM(BJ$41:BJ55)*(1-'DADOS DOS EMPREENDIMENTOS'!#REF!-'DADOS DOS EMPREENDIMENTOS'!#REF!)+'DADOS DOS EMPREENDIMENTOS'!#REF!,IF(BH55='DADOS DOS EMPREENDIMENTOS'!#REF!,'DADOS DOS EMPREENDIMENTOS'!#REF!,BJ55*(1-'DADOS DOS EMPREENDIMENTOS'!#REF!-'DADOS DOS EMPREENDIMENTOS'!#REF!))))</f>
        <v>#REF!</v>
      </c>
      <c r="BM55" s="46">
        <v>14</v>
      </c>
      <c r="BN55" s="26">
        <v>40360</v>
      </c>
      <c r="BO55" s="8">
        <v>9.7599999710741514E-2</v>
      </c>
      <c r="BP55" s="61" t="e">
        <f>IF(BM55&lt;'DADOS DOS EMPREENDIMENTOS'!BO$11,0,IF(BM55='DADOS DOS EMPREENDIMENTOS'!BO$11,SUM(BO$41:BO55)*(1-'DADOS DOS EMPREENDIMENTOS'!#REF!-'DADOS DOS EMPREENDIMENTOS'!#REF!)+'DADOS DOS EMPREENDIMENTOS'!#REF!,IF(BM55='DADOS DOS EMPREENDIMENTOS'!BO$12,'DADOS DOS EMPREENDIMENTOS'!#REF!,BO55*(1-'DADOS DOS EMPREENDIMENTOS'!#REF!-'DADOS DOS EMPREENDIMENTOS'!#REF!))))</f>
        <v>#REF!</v>
      </c>
      <c r="BR55" s="46">
        <v>14</v>
      </c>
      <c r="BS55" s="26">
        <v>40360</v>
      </c>
      <c r="BT55" s="8">
        <v>9.7599999710741514E-2</v>
      </c>
      <c r="BU55" s="61" t="e">
        <f>IF(BR55&lt;'DADOS DOS EMPREENDIMENTOS'!BT$11,0,IF(BR55='DADOS DOS EMPREENDIMENTOS'!BT$11,SUM(BT$41:BT55)*(1-'DADOS DOS EMPREENDIMENTOS'!#REF!-'DADOS DOS EMPREENDIMENTOS'!#REF!)+'DADOS DOS EMPREENDIMENTOS'!#REF!,IF(BR55='DADOS DOS EMPREENDIMENTOS'!BT$12,'DADOS DOS EMPREENDIMENTOS'!#REF!,BT55*(1-'DADOS DOS EMPREENDIMENTOS'!#REF!-'DADOS DOS EMPREENDIMENTOS'!#REF!))))</f>
        <v>#REF!</v>
      </c>
      <c r="BW55" s="46">
        <v>14</v>
      </c>
      <c r="BX55" s="26">
        <v>40360</v>
      </c>
      <c r="BY55" s="8">
        <v>9.7599999710741514E-2</v>
      </c>
      <c r="BZ55" s="61" t="e">
        <f>IF(BW55&lt;'DADOS DOS EMPREENDIMENTOS'!BY$11,0,IF(BW55='DADOS DOS EMPREENDIMENTOS'!BY$11,SUM(BY$41:BY55)*(1-'DADOS DOS EMPREENDIMENTOS'!#REF!-'DADOS DOS EMPREENDIMENTOS'!#REF!)+'DADOS DOS EMPREENDIMENTOS'!#REF!,IF(BW55='DADOS DOS EMPREENDIMENTOS'!BY$12,'DADOS DOS EMPREENDIMENTOS'!#REF!,BY55*(1-'DADOS DOS EMPREENDIMENTOS'!#REF!-'DADOS DOS EMPREENDIMENTOS'!#REF!))))</f>
        <v>#REF!</v>
      </c>
      <c r="CB55" s="46">
        <v>14</v>
      </c>
      <c r="CC55" s="26">
        <v>40360</v>
      </c>
      <c r="CD55" s="8">
        <v>9.7599999710741514E-2</v>
      </c>
      <c r="CE55" s="61" t="e">
        <f>IF(CB55&lt;'DADOS DOS EMPREENDIMENTOS'!CD$11,0,IF(CB55='DADOS DOS EMPREENDIMENTOS'!CD$11,SUM(CD$41:CD55)*(1-'DADOS DOS EMPREENDIMENTOS'!#REF!-'DADOS DOS EMPREENDIMENTOS'!#REF!)+'DADOS DOS EMPREENDIMENTOS'!#REF!,IF(CB55='DADOS DOS EMPREENDIMENTOS'!CD$12,'DADOS DOS EMPREENDIMENTOS'!#REF!,CD55*(1-'DADOS DOS EMPREENDIMENTOS'!#REF!-'DADOS DOS EMPREENDIMENTOS'!#REF!))))</f>
        <v>#REF!</v>
      </c>
      <c r="CG55" s="46"/>
      <c r="CH55" s="26"/>
      <c r="CI55" s="8"/>
      <c r="CJ55" s="61"/>
    </row>
    <row r="56" spans="15:88" ht="12.75" customHeight="1" thickBot="1" x14ac:dyDescent="0.25">
      <c r="O56" s="37">
        <v>41</v>
      </c>
      <c r="P56" s="353" t="s">
        <v>295</v>
      </c>
      <c r="Q56" s="356">
        <f>VLOOKUP(P56,Apoio!C:E,2,0)</f>
        <v>223750</v>
      </c>
      <c r="R56" s="355">
        <v>220000</v>
      </c>
      <c r="S56" s="216">
        <v>5</v>
      </c>
      <c r="T56" s="46">
        <v>15</v>
      </c>
      <c r="U56" s="26"/>
      <c r="V56" s="8"/>
      <c r="W56" s="61"/>
      <c r="Y56" s="46">
        <v>15</v>
      </c>
      <c r="Z56" s="26"/>
      <c r="AA56" s="8"/>
      <c r="AB56" s="61"/>
      <c r="AD56" s="46">
        <v>15</v>
      </c>
      <c r="AE56" s="26">
        <v>40391</v>
      </c>
      <c r="AF56" s="8">
        <v>0.11039999975882406</v>
      </c>
      <c r="AG56" s="61" t="e">
        <f>IF(AD56&lt;'DADOS DOS EMPREENDIMENTOS'!AF$11,0,IF(AD56='DADOS DOS EMPREENDIMENTOS'!AF$11,SUM(AF$41:AF56)*(1-'DADOS DOS EMPREENDIMENTOS'!#REF!-'DADOS DOS EMPREENDIMENTOS'!#REF!)+'DADOS DOS EMPREENDIMENTOS'!#REF!,IF(AD56='DADOS DOS EMPREENDIMENTOS'!#REF!,'DADOS DOS EMPREENDIMENTOS'!#REF!,AF56*(1-'DADOS DOS EMPREENDIMENTOS'!#REF!-'DADOS DOS EMPREENDIMENTOS'!#REF!))))</f>
        <v>#REF!</v>
      </c>
      <c r="AI56" s="46">
        <v>15</v>
      </c>
      <c r="AJ56" s="26">
        <v>40391</v>
      </c>
      <c r="AK56" s="8">
        <v>0.11039999975882406</v>
      </c>
      <c r="AL56" s="61" t="e">
        <f>IF(AI56&lt;'DADOS DOS EMPREENDIMENTOS'!AK$11,0,IF(AI56='DADOS DOS EMPREENDIMENTOS'!AK$11,SUM(AK$41:AK56)*(1-'DADOS DOS EMPREENDIMENTOS'!#REF!-'DADOS DOS EMPREENDIMENTOS'!#REF!)+'DADOS DOS EMPREENDIMENTOS'!#REF!,IF(AI56='DADOS DOS EMPREENDIMENTOS'!#REF!,'DADOS DOS EMPREENDIMENTOS'!#REF!,AK56*(1-'DADOS DOS EMPREENDIMENTOS'!#REF!-'DADOS DOS EMPREENDIMENTOS'!#REF!))))</f>
        <v>#REF!</v>
      </c>
      <c r="AN56" s="46">
        <v>15</v>
      </c>
      <c r="AO56" s="26">
        <v>40391</v>
      </c>
      <c r="AP56" s="8">
        <v>0.11039999975882406</v>
      </c>
      <c r="AQ56" s="61" t="e">
        <f>IF(AN56&lt;'DADOS DOS EMPREENDIMENTOS'!AP$11,0,IF(AN56='DADOS DOS EMPREENDIMENTOS'!AP$11,SUM(AP$41:AP56)*(1-'DADOS DOS EMPREENDIMENTOS'!#REF!-'DADOS DOS EMPREENDIMENTOS'!#REF!)+'DADOS DOS EMPREENDIMENTOS'!#REF!,IF(AN56='DADOS DOS EMPREENDIMENTOS'!#REF!,'DADOS DOS EMPREENDIMENTOS'!#REF!,AP56*(1-'DADOS DOS EMPREENDIMENTOS'!#REF!-'DADOS DOS EMPREENDIMENTOS'!#REF!))))</f>
        <v>#REF!</v>
      </c>
      <c r="AS56" s="46">
        <v>15</v>
      </c>
      <c r="AT56" s="26">
        <v>40391</v>
      </c>
      <c r="AU56" s="8">
        <v>0.11039999975882406</v>
      </c>
      <c r="AV56" s="61" t="e">
        <f>IF(AS56&lt;'DADOS DOS EMPREENDIMENTOS'!AU$11,0,IF(AS56='DADOS DOS EMPREENDIMENTOS'!AU$11,SUM(AU$41:AU56)*(1-'DADOS DOS EMPREENDIMENTOS'!#REF!-'DADOS DOS EMPREENDIMENTOS'!#REF!)+'DADOS DOS EMPREENDIMENTOS'!#REF!,IF(AS56='DADOS DOS EMPREENDIMENTOS'!#REF!,'DADOS DOS EMPREENDIMENTOS'!#REF!,AU56*(1-'DADOS DOS EMPREENDIMENTOS'!#REF!-'DADOS DOS EMPREENDIMENTOS'!#REF!))))</f>
        <v>#REF!</v>
      </c>
      <c r="AX56" s="46">
        <v>15</v>
      </c>
      <c r="AY56" s="26">
        <v>40391</v>
      </c>
      <c r="AZ56" s="8">
        <v>0.11039999975882406</v>
      </c>
      <c r="BA56" s="61" t="e">
        <f>IF(AX56&lt;'DADOS DOS EMPREENDIMENTOS'!AZ$11,0,IF(AX56='DADOS DOS EMPREENDIMENTOS'!AZ$11,SUM(AZ$41:AZ56)*(1-'DADOS DOS EMPREENDIMENTOS'!#REF!-'DADOS DOS EMPREENDIMENTOS'!#REF!)+'DADOS DOS EMPREENDIMENTOS'!#REF!,IF(AX56='DADOS DOS EMPREENDIMENTOS'!#REF!,'DADOS DOS EMPREENDIMENTOS'!#REF!,AZ56*(1-'DADOS DOS EMPREENDIMENTOS'!#REF!-'DADOS DOS EMPREENDIMENTOS'!#REF!))))</f>
        <v>#REF!</v>
      </c>
      <c r="BC56" s="46">
        <v>15</v>
      </c>
      <c r="BD56" s="26">
        <v>40391</v>
      </c>
      <c r="BE56" s="8">
        <v>0.11039999975882406</v>
      </c>
      <c r="BF56" s="61" t="e">
        <f>IF(BC56&lt;'DADOS DOS EMPREENDIMENTOS'!BE$11,0,IF(BC56='DADOS DOS EMPREENDIMENTOS'!BE$11,SUM(BE$41:BE56)*(1-'DADOS DOS EMPREENDIMENTOS'!#REF!-'DADOS DOS EMPREENDIMENTOS'!#REF!)+'DADOS DOS EMPREENDIMENTOS'!#REF!,IF(BC56='DADOS DOS EMPREENDIMENTOS'!#REF!,'DADOS DOS EMPREENDIMENTOS'!#REF!,BE56*(1-'DADOS DOS EMPREENDIMENTOS'!#REF!-'DADOS DOS EMPREENDIMENTOS'!#REF!))))</f>
        <v>#REF!</v>
      </c>
      <c r="BH56" s="46">
        <v>15</v>
      </c>
      <c r="BI56" s="26">
        <v>40391</v>
      </c>
      <c r="BJ56" s="8">
        <v>0.11039999975882406</v>
      </c>
      <c r="BK56" s="61" t="e">
        <f>IF(BH56&lt;'DADOS DOS EMPREENDIMENTOS'!BJ$11,0,IF(BH56='DADOS DOS EMPREENDIMENTOS'!BJ$11,SUM(BJ$41:BJ56)*(1-'DADOS DOS EMPREENDIMENTOS'!#REF!-'DADOS DOS EMPREENDIMENTOS'!#REF!)+'DADOS DOS EMPREENDIMENTOS'!#REF!,IF(BH56='DADOS DOS EMPREENDIMENTOS'!#REF!,'DADOS DOS EMPREENDIMENTOS'!#REF!,BJ56*(1-'DADOS DOS EMPREENDIMENTOS'!#REF!-'DADOS DOS EMPREENDIMENTOS'!#REF!))))</f>
        <v>#REF!</v>
      </c>
      <c r="BM56" s="46">
        <v>15</v>
      </c>
      <c r="BN56" s="26">
        <v>40391</v>
      </c>
      <c r="BO56" s="8">
        <v>0.11039999975882406</v>
      </c>
      <c r="BP56" s="61" t="e">
        <f>IF(BM56&lt;'DADOS DOS EMPREENDIMENTOS'!BO$11,0,IF(BM56='DADOS DOS EMPREENDIMENTOS'!BO$11,SUM(BO$41:BO56)*(1-'DADOS DOS EMPREENDIMENTOS'!#REF!-'DADOS DOS EMPREENDIMENTOS'!#REF!)+'DADOS DOS EMPREENDIMENTOS'!#REF!,IF(BM56='DADOS DOS EMPREENDIMENTOS'!BO$12,'DADOS DOS EMPREENDIMENTOS'!#REF!,BO56*(1-'DADOS DOS EMPREENDIMENTOS'!#REF!-'DADOS DOS EMPREENDIMENTOS'!#REF!))))</f>
        <v>#REF!</v>
      </c>
      <c r="BR56" s="46">
        <v>15</v>
      </c>
      <c r="BS56" s="26">
        <v>40391</v>
      </c>
      <c r="BT56" s="8">
        <v>0.11039999975882406</v>
      </c>
      <c r="BU56" s="61" t="e">
        <f>IF(BR56&lt;'DADOS DOS EMPREENDIMENTOS'!BT$11,0,IF(BR56='DADOS DOS EMPREENDIMENTOS'!BT$11,SUM(BT$41:BT56)*(1-'DADOS DOS EMPREENDIMENTOS'!#REF!-'DADOS DOS EMPREENDIMENTOS'!#REF!)+'DADOS DOS EMPREENDIMENTOS'!#REF!,IF(BR56='DADOS DOS EMPREENDIMENTOS'!BT$12,'DADOS DOS EMPREENDIMENTOS'!#REF!,BT56*(1-'DADOS DOS EMPREENDIMENTOS'!#REF!-'DADOS DOS EMPREENDIMENTOS'!#REF!))))</f>
        <v>#REF!</v>
      </c>
      <c r="BW56" s="46">
        <v>15</v>
      </c>
      <c r="BX56" s="26">
        <v>40391</v>
      </c>
      <c r="BY56" s="8">
        <v>0.11039999975882406</v>
      </c>
      <c r="BZ56" s="61" t="e">
        <f>IF(BW56&lt;'DADOS DOS EMPREENDIMENTOS'!BY$11,0,IF(BW56='DADOS DOS EMPREENDIMENTOS'!BY$11,SUM(BY$41:BY56)*(1-'DADOS DOS EMPREENDIMENTOS'!#REF!-'DADOS DOS EMPREENDIMENTOS'!#REF!)+'DADOS DOS EMPREENDIMENTOS'!#REF!,IF(BW56='DADOS DOS EMPREENDIMENTOS'!BY$12,'DADOS DOS EMPREENDIMENTOS'!#REF!,BY56*(1-'DADOS DOS EMPREENDIMENTOS'!#REF!-'DADOS DOS EMPREENDIMENTOS'!#REF!))))</f>
        <v>#REF!</v>
      </c>
      <c r="CB56" s="46">
        <v>15</v>
      </c>
      <c r="CC56" s="26">
        <v>40391</v>
      </c>
      <c r="CD56" s="8">
        <v>0.11039999975882406</v>
      </c>
      <c r="CE56" s="61" t="e">
        <f>IF(CB56&lt;'DADOS DOS EMPREENDIMENTOS'!CD$11,0,IF(CB56='DADOS DOS EMPREENDIMENTOS'!CD$11,SUM(CD$41:CD56)*(1-'DADOS DOS EMPREENDIMENTOS'!#REF!-'DADOS DOS EMPREENDIMENTOS'!#REF!)+'DADOS DOS EMPREENDIMENTOS'!#REF!,IF(CB56='DADOS DOS EMPREENDIMENTOS'!CD$12,'DADOS DOS EMPREENDIMENTOS'!#REF!,CD56*(1-'DADOS DOS EMPREENDIMENTOS'!#REF!-'DADOS DOS EMPREENDIMENTOS'!#REF!))))</f>
        <v>#REF!</v>
      </c>
      <c r="CG56" s="46"/>
      <c r="CH56" s="26"/>
      <c r="CI56" s="8"/>
      <c r="CJ56" s="61"/>
    </row>
    <row r="57" spans="15:88" ht="12.75" customHeight="1" thickBot="1" x14ac:dyDescent="0.25">
      <c r="O57" s="39">
        <v>42</v>
      </c>
      <c r="P57" s="353" t="s">
        <v>296</v>
      </c>
      <c r="Q57" s="356">
        <f>VLOOKUP(P57,Apoio!C:E,2,0)</f>
        <v>223750</v>
      </c>
      <c r="R57" s="355">
        <v>220000</v>
      </c>
      <c r="S57" s="216">
        <v>5</v>
      </c>
      <c r="T57" s="46">
        <v>16</v>
      </c>
      <c r="U57" s="26"/>
      <c r="V57" s="8"/>
      <c r="W57" s="61"/>
      <c r="Y57" s="46">
        <v>16</v>
      </c>
      <c r="Z57" s="26"/>
      <c r="AA57" s="8"/>
      <c r="AB57" s="61"/>
      <c r="AD57" s="46">
        <v>16</v>
      </c>
      <c r="AE57" s="26">
        <v>40422</v>
      </c>
      <c r="AF57" s="8">
        <v>0.12510000012335462</v>
      </c>
      <c r="AG57" s="61" t="e">
        <f>IF(AD57&lt;'DADOS DOS EMPREENDIMENTOS'!AF$11,0,IF(AD57='DADOS DOS EMPREENDIMENTOS'!AF$11,SUM(AF$41:AF57)*(1-'DADOS DOS EMPREENDIMENTOS'!#REF!-'DADOS DOS EMPREENDIMENTOS'!#REF!)+'DADOS DOS EMPREENDIMENTOS'!#REF!,IF(AD57='DADOS DOS EMPREENDIMENTOS'!#REF!,'DADOS DOS EMPREENDIMENTOS'!#REF!,AF57*(1-'DADOS DOS EMPREENDIMENTOS'!#REF!-'DADOS DOS EMPREENDIMENTOS'!#REF!))))</f>
        <v>#REF!</v>
      </c>
      <c r="AI57" s="46">
        <v>16</v>
      </c>
      <c r="AJ57" s="26">
        <v>40422</v>
      </c>
      <c r="AK57" s="8">
        <v>0.12510000012335462</v>
      </c>
      <c r="AL57" s="61" t="e">
        <f>IF(AI57&lt;'DADOS DOS EMPREENDIMENTOS'!AK$11,0,IF(AI57='DADOS DOS EMPREENDIMENTOS'!AK$11,SUM(AK$41:AK57)*(1-'DADOS DOS EMPREENDIMENTOS'!#REF!-'DADOS DOS EMPREENDIMENTOS'!#REF!)+'DADOS DOS EMPREENDIMENTOS'!#REF!,IF(AI57='DADOS DOS EMPREENDIMENTOS'!#REF!,'DADOS DOS EMPREENDIMENTOS'!#REF!,AK57*(1-'DADOS DOS EMPREENDIMENTOS'!#REF!-'DADOS DOS EMPREENDIMENTOS'!#REF!))))</f>
        <v>#REF!</v>
      </c>
      <c r="AN57" s="46">
        <v>16</v>
      </c>
      <c r="AO57" s="26">
        <v>40422</v>
      </c>
      <c r="AP57" s="8">
        <v>0.12510000012335462</v>
      </c>
      <c r="AQ57" s="61" t="e">
        <f>IF(AN57&lt;'DADOS DOS EMPREENDIMENTOS'!AP$11,0,IF(AN57='DADOS DOS EMPREENDIMENTOS'!AP$11,SUM(AP$41:AP57)*(1-'DADOS DOS EMPREENDIMENTOS'!#REF!-'DADOS DOS EMPREENDIMENTOS'!#REF!)+'DADOS DOS EMPREENDIMENTOS'!#REF!,IF(AN57='DADOS DOS EMPREENDIMENTOS'!#REF!,'DADOS DOS EMPREENDIMENTOS'!#REF!,AP57*(1-'DADOS DOS EMPREENDIMENTOS'!#REF!-'DADOS DOS EMPREENDIMENTOS'!#REF!))))</f>
        <v>#REF!</v>
      </c>
      <c r="AS57" s="46">
        <v>16</v>
      </c>
      <c r="AT57" s="26">
        <v>40422</v>
      </c>
      <c r="AU57" s="8">
        <v>0.12510000012335462</v>
      </c>
      <c r="AV57" s="61" t="e">
        <f>IF(AS57&lt;'DADOS DOS EMPREENDIMENTOS'!AU$11,0,IF(AS57='DADOS DOS EMPREENDIMENTOS'!AU$11,SUM(AU$41:AU57)*(1-'DADOS DOS EMPREENDIMENTOS'!#REF!-'DADOS DOS EMPREENDIMENTOS'!#REF!)+'DADOS DOS EMPREENDIMENTOS'!#REF!,IF(AS57='DADOS DOS EMPREENDIMENTOS'!#REF!,'DADOS DOS EMPREENDIMENTOS'!#REF!,AU57*(1-'DADOS DOS EMPREENDIMENTOS'!#REF!-'DADOS DOS EMPREENDIMENTOS'!#REF!))))</f>
        <v>#REF!</v>
      </c>
      <c r="AX57" s="46">
        <v>16</v>
      </c>
      <c r="AY57" s="26">
        <v>40422</v>
      </c>
      <c r="AZ57" s="8">
        <v>0.12510000012335462</v>
      </c>
      <c r="BA57" s="61" t="e">
        <f>IF(AX57&lt;'DADOS DOS EMPREENDIMENTOS'!AZ$11,0,IF(AX57='DADOS DOS EMPREENDIMENTOS'!AZ$11,SUM(AZ$41:AZ57)*(1-'DADOS DOS EMPREENDIMENTOS'!#REF!-'DADOS DOS EMPREENDIMENTOS'!#REF!)+'DADOS DOS EMPREENDIMENTOS'!#REF!,IF(AX57='DADOS DOS EMPREENDIMENTOS'!#REF!,'DADOS DOS EMPREENDIMENTOS'!#REF!,AZ57*(1-'DADOS DOS EMPREENDIMENTOS'!#REF!-'DADOS DOS EMPREENDIMENTOS'!#REF!))))</f>
        <v>#REF!</v>
      </c>
      <c r="BC57" s="46">
        <v>16</v>
      </c>
      <c r="BD57" s="26">
        <v>40422</v>
      </c>
      <c r="BE57" s="8">
        <v>0.12510000012335462</v>
      </c>
      <c r="BF57" s="61" t="e">
        <f>IF(BC57&lt;'DADOS DOS EMPREENDIMENTOS'!BE$11,0,IF(BC57='DADOS DOS EMPREENDIMENTOS'!BE$11,SUM(BE$41:BE57)*(1-'DADOS DOS EMPREENDIMENTOS'!#REF!-'DADOS DOS EMPREENDIMENTOS'!#REF!)+'DADOS DOS EMPREENDIMENTOS'!#REF!,IF(BC57='DADOS DOS EMPREENDIMENTOS'!#REF!,'DADOS DOS EMPREENDIMENTOS'!#REF!,BE57*(1-'DADOS DOS EMPREENDIMENTOS'!#REF!-'DADOS DOS EMPREENDIMENTOS'!#REF!))))</f>
        <v>#REF!</v>
      </c>
      <c r="BH57" s="46">
        <v>16</v>
      </c>
      <c r="BI57" s="26">
        <v>40422</v>
      </c>
      <c r="BJ57" s="8">
        <v>0.12510000012335462</v>
      </c>
      <c r="BK57" s="61" t="e">
        <f>IF(BH57&lt;'DADOS DOS EMPREENDIMENTOS'!BJ$11,0,IF(BH57='DADOS DOS EMPREENDIMENTOS'!BJ$11,SUM(BJ$41:BJ57)*(1-'DADOS DOS EMPREENDIMENTOS'!#REF!-'DADOS DOS EMPREENDIMENTOS'!#REF!)+'DADOS DOS EMPREENDIMENTOS'!#REF!,IF(BH57='DADOS DOS EMPREENDIMENTOS'!#REF!,'DADOS DOS EMPREENDIMENTOS'!#REF!,BJ57*(1-'DADOS DOS EMPREENDIMENTOS'!#REF!-'DADOS DOS EMPREENDIMENTOS'!#REF!))))</f>
        <v>#REF!</v>
      </c>
      <c r="BM57" s="46">
        <v>16</v>
      </c>
      <c r="BN57" s="26">
        <v>40422</v>
      </c>
      <c r="BO57" s="8">
        <v>0.12510000012335462</v>
      </c>
      <c r="BP57" s="61" t="e">
        <f>IF(BM57&lt;'DADOS DOS EMPREENDIMENTOS'!BO$11,0,IF(BM57='DADOS DOS EMPREENDIMENTOS'!BO$11,SUM(BO$41:BO57)*(1-'DADOS DOS EMPREENDIMENTOS'!#REF!-'DADOS DOS EMPREENDIMENTOS'!#REF!)+'DADOS DOS EMPREENDIMENTOS'!#REF!,IF(BM57='DADOS DOS EMPREENDIMENTOS'!BO$12,'DADOS DOS EMPREENDIMENTOS'!#REF!,BO57*(1-'DADOS DOS EMPREENDIMENTOS'!#REF!-'DADOS DOS EMPREENDIMENTOS'!#REF!))))</f>
        <v>#REF!</v>
      </c>
      <c r="BR57" s="46">
        <v>16</v>
      </c>
      <c r="BS57" s="26">
        <v>40422</v>
      </c>
      <c r="BT57" s="8">
        <v>0.12510000012335462</v>
      </c>
      <c r="BU57" s="61" t="e">
        <f>IF(BR57&lt;'DADOS DOS EMPREENDIMENTOS'!BT$11,0,IF(BR57='DADOS DOS EMPREENDIMENTOS'!BT$11,SUM(BT$41:BT57)*(1-'DADOS DOS EMPREENDIMENTOS'!#REF!-'DADOS DOS EMPREENDIMENTOS'!#REF!)+'DADOS DOS EMPREENDIMENTOS'!#REF!,IF(BR57='DADOS DOS EMPREENDIMENTOS'!BT$12,'DADOS DOS EMPREENDIMENTOS'!#REF!,BT57*(1-'DADOS DOS EMPREENDIMENTOS'!#REF!-'DADOS DOS EMPREENDIMENTOS'!#REF!))))</f>
        <v>#REF!</v>
      </c>
      <c r="BW57" s="46">
        <v>16</v>
      </c>
      <c r="BX57" s="26">
        <v>40422</v>
      </c>
      <c r="BY57" s="8">
        <v>0.12510000012335462</v>
      </c>
      <c r="BZ57" s="61" t="e">
        <f>IF(BW57&lt;'DADOS DOS EMPREENDIMENTOS'!BY$11,0,IF(BW57='DADOS DOS EMPREENDIMENTOS'!BY$11,SUM(BY$41:BY57)*(1-'DADOS DOS EMPREENDIMENTOS'!#REF!-'DADOS DOS EMPREENDIMENTOS'!#REF!)+'DADOS DOS EMPREENDIMENTOS'!#REF!,IF(BW57='DADOS DOS EMPREENDIMENTOS'!BY$12,'DADOS DOS EMPREENDIMENTOS'!#REF!,BY57*(1-'DADOS DOS EMPREENDIMENTOS'!#REF!-'DADOS DOS EMPREENDIMENTOS'!#REF!))))</f>
        <v>#REF!</v>
      </c>
      <c r="CB57" s="46">
        <v>16</v>
      </c>
      <c r="CC57" s="26">
        <v>40422</v>
      </c>
      <c r="CD57" s="8">
        <v>0.12510000012335462</v>
      </c>
      <c r="CE57" s="61" t="e">
        <f>IF(CB57&lt;'DADOS DOS EMPREENDIMENTOS'!CD$11,0,IF(CB57='DADOS DOS EMPREENDIMENTOS'!CD$11,SUM(CD$41:CD57)*(1-'DADOS DOS EMPREENDIMENTOS'!#REF!-'DADOS DOS EMPREENDIMENTOS'!#REF!)+'DADOS DOS EMPREENDIMENTOS'!#REF!,IF(CB57='DADOS DOS EMPREENDIMENTOS'!CD$12,'DADOS DOS EMPREENDIMENTOS'!#REF!,CD57*(1-'DADOS DOS EMPREENDIMENTOS'!#REF!-'DADOS DOS EMPREENDIMENTOS'!#REF!))))</f>
        <v>#REF!</v>
      </c>
      <c r="CG57" s="46"/>
      <c r="CH57" s="26"/>
      <c r="CI57" s="8"/>
      <c r="CJ57" s="61"/>
    </row>
    <row r="58" spans="15:88" ht="12.75" customHeight="1" thickBot="1" x14ac:dyDescent="0.25">
      <c r="O58" s="37">
        <v>43</v>
      </c>
      <c r="P58" s="353" t="s">
        <v>297</v>
      </c>
      <c r="Q58" s="356">
        <f>VLOOKUP(P58,Apoio!C:E,2,0)</f>
        <v>222850</v>
      </c>
      <c r="R58" s="355">
        <v>220000</v>
      </c>
      <c r="S58" s="216">
        <v>5</v>
      </c>
      <c r="T58" s="46">
        <v>17</v>
      </c>
      <c r="U58" s="26"/>
      <c r="V58" s="8"/>
      <c r="W58" s="61"/>
      <c r="Y58" s="46">
        <v>17</v>
      </c>
      <c r="Z58" s="26"/>
      <c r="AA58" s="8"/>
      <c r="AB58" s="61"/>
      <c r="AD58" s="46">
        <v>17</v>
      </c>
      <c r="AE58" s="26">
        <v>40452</v>
      </c>
      <c r="AF58" s="8">
        <v>0.12929999981864104</v>
      </c>
      <c r="AG58" s="61" t="e">
        <f>IF(AD58&lt;'DADOS DOS EMPREENDIMENTOS'!AF$11,0,IF(AD58='DADOS DOS EMPREENDIMENTOS'!AF$11,SUM(AF$41:AF58)*(1-'DADOS DOS EMPREENDIMENTOS'!#REF!-'DADOS DOS EMPREENDIMENTOS'!#REF!)+'DADOS DOS EMPREENDIMENTOS'!#REF!,IF(AD58='DADOS DOS EMPREENDIMENTOS'!#REF!,'DADOS DOS EMPREENDIMENTOS'!#REF!,AF58*(1-'DADOS DOS EMPREENDIMENTOS'!#REF!-'DADOS DOS EMPREENDIMENTOS'!#REF!))))</f>
        <v>#REF!</v>
      </c>
      <c r="AI58" s="46">
        <v>17</v>
      </c>
      <c r="AJ58" s="26">
        <v>40452</v>
      </c>
      <c r="AK58" s="8">
        <v>0.12929999981864104</v>
      </c>
      <c r="AL58" s="61" t="e">
        <f>IF(AI58&lt;'DADOS DOS EMPREENDIMENTOS'!AK$11,0,IF(AI58='DADOS DOS EMPREENDIMENTOS'!AK$11,SUM(AK$41:AK58)*(1-'DADOS DOS EMPREENDIMENTOS'!#REF!-'DADOS DOS EMPREENDIMENTOS'!#REF!)+'DADOS DOS EMPREENDIMENTOS'!#REF!,IF(AI58='DADOS DOS EMPREENDIMENTOS'!#REF!,'DADOS DOS EMPREENDIMENTOS'!#REF!,AK58*(1-'DADOS DOS EMPREENDIMENTOS'!#REF!-'DADOS DOS EMPREENDIMENTOS'!#REF!))))</f>
        <v>#REF!</v>
      </c>
      <c r="AN58" s="46">
        <v>17</v>
      </c>
      <c r="AO58" s="26">
        <v>40452</v>
      </c>
      <c r="AP58" s="8">
        <v>0.12929999981864104</v>
      </c>
      <c r="AQ58" s="61" t="e">
        <f>IF(AN58&lt;'DADOS DOS EMPREENDIMENTOS'!AP$11,0,IF(AN58='DADOS DOS EMPREENDIMENTOS'!AP$11,SUM(AP$41:AP58)*(1-'DADOS DOS EMPREENDIMENTOS'!#REF!-'DADOS DOS EMPREENDIMENTOS'!#REF!)+'DADOS DOS EMPREENDIMENTOS'!#REF!,IF(AN58='DADOS DOS EMPREENDIMENTOS'!#REF!,'DADOS DOS EMPREENDIMENTOS'!#REF!,AP58*(1-'DADOS DOS EMPREENDIMENTOS'!#REF!-'DADOS DOS EMPREENDIMENTOS'!#REF!))))</f>
        <v>#REF!</v>
      </c>
      <c r="AS58" s="46">
        <v>17</v>
      </c>
      <c r="AT58" s="26">
        <v>40452</v>
      </c>
      <c r="AU58" s="8">
        <v>0.12929999981864104</v>
      </c>
      <c r="AV58" s="61" t="e">
        <f>IF(AS58&lt;'DADOS DOS EMPREENDIMENTOS'!AU$11,0,IF(AS58='DADOS DOS EMPREENDIMENTOS'!AU$11,SUM(AU$41:AU58)*(1-'DADOS DOS EMPREENDIMENTOS'!#REF!-'DADOS DOS EMPREENDIMENTOS'!#REF!)+'DADOS DOS EMPREENDIMENTOS'!#REF!,IF(AS58='DADOS DOS EMPREENDIMENTOS'!#REF!,'DADOS DOS EMPREENDIMENTOS'!#REF!,AU58*(1-'DADOS DOS EMPREENDIMENTOS'!#REF!-'DADOS DOS EMPREENDIMENTOS'!#REF!))))</f>
        <v>#REF!</v>
      </c>
      <c r="AX58" s="46">
        <v>17</v>
      </c>
      <c r="AY58" s="26">
        <v>40452</v>
      </c>
      <c r="AZ58" s="8">
        <v>0.12929999981864104</v>
      </c>
      <c r="BA58" s="61" t="e">
        <f>IF(AX58&lt;'DADOS DOS EMPREENDIMENTOS'!AZ$11,0,IF(AX58='DADOS DOS EMPREENDIMENTOS'!AZ$11,SUM(AZ$41:AZ58)*(1-'DADOS DOS EMPREENDIMENTOS'!#REF!-'DADOS DOS EMPREENDIMENTOS'!#REF!)+'DADOS DOS EMPREENDIMENTOS'!#REF!,IF(AX58='DADOS DOS EMPREENDIMENTOS'!#REF!,'DADOS DOS EMPREENDIMENTOS'!#REF!,AZ58*(1-'DADOS DOS EMPREENDIMENTOS'!#REF!-'DADOS DOS EMPREENDIMENTOS'!#REF!))))</f>
        <v>#REF!</v>
      </c>
      <c r="BC58" s="46">
        <v>17</v>
      </c>
      <c r="BD58" s="26">
        <v>40452</v>
      </c>
      <c r="BE58" s="8">
        <v>0.12929999981864104</v>
      </c>
      <c r="BF58" s="61" t="e">
        <f>IF(BC58&lt;'DADOS DOS EMPREENDIMENTOS'!BE$11,0,IF(BC58='DADOS DOS EMPREENDIMENTOS'!BE$11,SUM(BE$41:BE58)*(1-'DADOS DOS EMPREENDIMENTOS'!#REF!-'DADOS DOS EMPREENDIMENTOS'!#REF!)+'DADOS DOS EMPREENDIMENTOS'!#REF!,IF(BC58='DADOS DOS EMPREENDIMENTOS'!#REF!,'DADOS DOS EMPREENDIMENTOS'!#REF!,BE58*(1-'DADOS DOS EMPREENDIMENTOS'!#REF!-'DADOS DOS EMPREENDIMENTOS'!#REF!))))</f>
        <v>#REF!</v>
      </c>
      <c r="BH58" s="46">
        <v>17</v>
      </c>
      <c r="BI58" s="26">
        <v>40452</v>
      </c>
      <c r="BJ58" s="8">
        <v>0.12929999981864104</v>
      </c>
      <c r="BK58" s="61" t="e">
        <f>IF(BH58&lt;'DADOS DOS EMPREENDIMENTOS'!BJ$11,0,IF(BH58='DADOS DOS EMPREENDIMENTOS'!BJ$11,SUM(BJ$41:BJ58)*(1-'DADOS DOS EMPREENDIMENTOS'!#REF!-'DADOS DOS EMPREENDIMENTOS'!#REF!)+'DADOS DOS EMPREENDIMENTOS'!#REF!,IF(BH58='DADOS DOS EMPREENDIMENTOS'!#REF!,'DADOS DOS EMPREENDIMENTOS'!#REF!,BJ58*(1-'DADOS DOS EMPREENDIMENTOS'!#REF!-'DADOS DOS EMPREENDIMENTOS'!#REF!))))</f>
        <v>#REF!</v>
      </c>
      <c r="BM58" s="46">
        <v>17</v>
      </c>
      <c r="BN58" s="26">
        <v>40452</v>
      </c>
      <c r="BO58" s="8">
        <v>0.12929999981864104</v>
      </c>
      <c r="BP58" s="61" t="e">
        <f>IF(BM58&lt;'DADOS DOS EMPREENDIMENTOS'!BO$11,0,IF(BM58='DADOS DOS EMPREENDIMENTOS'!BO$11,SUM(BO$41:BO58)*(1-'DADOS DOS EMPREENDIMENTOS'!#REF!-'DADOS DOS EMPREENDIMENTOS'!#REF!)+'DADOS DOS EMPREENDIMENTOS'!#REF!,IF(BM58='DADOS DOS EMPREENDIMENTOS'!BO$12,'DADOS DOS EMPREENDIMENTOS'!#REF!,BO58*(1-'DADOS DOS EMPREENDIMENTOS'!#REF!-'DADOS DOS EMPREENDIMENTOS'!#REF!))))</f>
        <v>#REF!</v>
      </c>
      <c r="BR58" s="46">
        <v>17</v>
      </c>
      <c r="BS58" s="26">
        <v>40452</v>
      </c>
      <c r="BT58" s="8">
        <v>0.12929999981864104</v>
      </c>
      <c r="BU58" s="61" t="e">
        <f>IF(BR58&lt;'DADOS DOS EMPREENDIMENTOS'!BT$11,0,IF(BR58='DADOS DOS EMPREENDIMENTOS'!BT$11,SUM(BT$41:BT58)*(1-'DADOS DOS EMPREENDIMENTOS'!#REF!-'DADOS DOS EMPREENDIMENTOS'!#REF!)+'DADOS DOS EMPREENDIMENTOS'!#REF!,IF(BR58='DADOS DOS EMPREENDIMENTOS'!BT$12,'DADOS DOS EMPREENDIMENTOS'!#REF!,BT58*(1-'DADOS DOS EMPREENDIMENTOS'!#REF!-'DADOS DOS EMPREENDIMENTOS'!#REF!))))</f>
        <v>#REF!</v>
      </c>
      <c r="BW58" s="46">
        <v>17</v>
      </c>
      <c r="BX58" s="26">
        <v>40452</v>
      </c>
      <c r="BY58" s="8">
        <v>0.12929999981864104</v>
      </c>
      <c r="BZ58" s="61" t="e">
        <f>IF(BW58&lt;'DADOS DOS EMPREENDIMENTOS'!BY$11,0,IF(BW58='DADOS DOS EMPREENDIMENTOS'!BY$11,SUM(BY$41:BY58)*(1-'DADOS DOS EMPREENDIMENTOS'!#REF!-'DADOS DOS EMPREENDIMENTOS'!#REF!)+'DADOS DOS EMPREENDIMENTOS'!#REF!,IF(BW58='DADOS DOS EMPREENDIMENTOS'!BY$12,'DADOS DOS EMPREENDIMENTOS'!#REF!,BY58*(1-'DADOS DOS EMPREENDIMENTOS'!#REF!-'DADOS DOS EMPREENDIMENTOS'!#REF!))))</f>
        <v>#REF!</v>
      </c>
      <c r="CB58" s="46">
        <v>17</v>
      </c>
      <c r="CC58" s="26">
        <v>40452</v>
      </c>
      <c r="CD58" s="8">
        <v>0.12929999981864104</v>
      </c>
      <c r="CE58" s="61" t="e">
        <f>IF(CB58&lt;'DADOS DOS EMPREENDIMENTOS'!CD$11,0,IF(CB58='DADOS DOS EMPREENDIMENTOS'!CD$11,SUM(CD$41:CD58)*(1-'DADOS DOS EMPREENDIMENTOS'!#REF!-'DADOS DOS EMPREENDIMENTOS'!#REF!)+'DADOS DOS EMPREENDIMENTOS'!#REF!,IF(CB58='DADOS DOS EMPREENDIMENTOS'!CD$12,'DADOS DOS EMPREENDIMENTOS'!#REF!,CD58*(1-'DADOS DOS EMPREENDIMENTOS'!#REF!-'DADOS DOS EMPREENDIMENTOS'!#REF!))))</f>
        <v>#REF!</v>
      </c>
      <c r="CG58" s="46"/>
      <c r="CH58" s="26"/>
      <c r="CI58" s="8"/>
      <c r="CJ58" s="61"/>
    </row>
    <row r="59" spans="15:88" ht="12.75" customHeight="1" thickBot="1" x14ac:dyDescent="0.25">
      <c r="O59" s="39">
        <v>44</v>
      </c>
      <c r="P59" s="353" t="s">
        <v>298</v>
      </c>
      <c r="Q59" s="356">
        <f>VLOOKUP(P59,Apoio!C:E,2,0)</f>
        <v>222850</v>
      </c>
      <c r="R59" s="355">
        <v>220000</v>
      </c>
      <c r="S59" s="216">
        <v>5</v>
      </c>
      <c r="T59" s="46">
        <v>18</v>
      </c>
      <c r="U59" s="26"/>
      <c r="V59" s="8"/>
      <c r="W59" s="61"/>
      <c r="Y59" s="46">
        <v>18</v>
      </c>
      <c r="Z59" s="26"/>
      <c r="AA59" s="8"/>
      <c r="AB59" s="61"/>
      <c r="AD59" s="46">
        <v>18</v>
      </c>
      <c r="AE59" s="26">
        <v>40483</v>
      </c>
      <c r="AF59" s="8">
        <v>0.1043999999896966</v>
      </c>
      <c r="AG59" s="61" t="e">
        <f>IF(AD59&lt;'DADOS DOS EMPREENDIMENTOS'!AF$11,0,IF(AD59='DADOS DOS EMPREENDIMENTOS'!AF$11,SUM(AF$41:AF59)*(1-'DADOS DOS EMPREENDIMENTOS'!#REF!-'DADOS DOS EMPREENDIMENTOS'!#REF!)+'DADOS DOS EMPREENDIMENTOS'!#REF!,IF(AD59='DADOS DOS EMPREENDIMENTOS'!#REF!,'DADOS DOS EMPREENDIMENTOS'!#REF!,AF59*(1-'DADOS DOS EMPREENDIMENTOS'!#REF!-'DADOS DOS EMPREENDIMENTOS'!#REF!))))</f>
        <v>#REF!</v>
      </c>
      <c r="AI59" s="46">
        <v>18</v>
      </c>
      <c r="AJ59" s="26">
        <v>40483</v>
      </c>
      <c r="AK59" s="8">
        <v>0.1043999999896966</v>
      </c>
      <c r="AL59" s="61" t="e">
        <f>IF(AI59&lt;'DADOS DOS EMPREENDIMENTOS'!AK$11,0,IF(AI59='DADOS DOS EMPREENDIMENTOS'!AK$11,SUM(AK$41:AK59)*(1-'DADOS DOS EMPREENDIMENTOS'!#REF!-'DADOS DOS EMPREENDIMENTOS'!#REF!)+'DADOS DOS EMPREENDIMENTOS'!#REF!,IF(AI59='DADOS DOS EMPREENDIMENTOS'!#REF!,'DADOS DOS EMPREENDIMENTOS'!#REF!,AK59*(1-'DADOS DOS EMPREENDIMENTOS'!#REF!-'DADOS DOS EMPREENDIMENTOS'!#REF!))))</f>
        <v>#REF!</v>
      </c>
      <c r="AN59" s="46">
        <v>18</v>
      </c>
      <c r="AO59" s="26">
        <v>40483</v>
      </c>
      <c r="AP59" s="8">
        <v>0.1043999999896966</v>
      </c>
      <c r="AQ59" s="61" t="e">
        <f>IF(AN59&lt;'DADOS DOS EMPREENDIMENTOS'!AP$11,0,IF(AN59='DADOS DOS EMPREENDIMENTOS'!AP$11,SUM(AP$41:AP59)*(1-'DADOS DOS EMPREENDIMENTOS'!#REF!-'DADOS DOS EMPREENDIMENTOS'!#REF!)+'DADOS DOS EMPREENDIMENTOS'!#REF!,IF(AN59='DADOS DOS EMPREENDIMENTOS'!#REF!,'DADOS DOS EMPREENDIMENTOS'!#REF!,AP59*(1-'DADOS DOS EMPREENDIMENTOS'!#REF!-'DADOS DOS EMPREENDIMENTOS'!#REF!))))</f>
        <v>#REF!</v>
      </c>
      <c r="AS59" s="46">
        <v>18</v>
      </c>
      <c r="AT59" s="26">
        <v>40483</v>
      </c>
      <c r="AU59" s="8">
        <v>0.1043999999896966</v>
      </c>
      <c r="AV59" s="61" t="e">
        <f>IF(AS59&lt;'DADOS DOS EMPREENDIMENTOS'!AU$11,0,IF(AS59='DADOS DOS EMPREENDIMENTOS'!AU$11,SUM(AU$41:AU59)*(1-'DADOS DOS EMPREENDIMENTOS'!#REF!-'DADOS DOS EMPREENDIMENTOS'!#REF!)+'DADOS DOS EMPREENDIMENTOS'!#REF!,IF(AS59='DADOS DOS EMPREENDIMENTOS'!#REF!,'DADOS DOS EMPREENDIMENTOS'!#REF!,AU59*(1-'DADOS DOS EMPREENDIMENTOS'!#REF!-'DADOS DOS EMPREENDIMENTOS'!#REF!))))</f>
        <v>#REF!</v>
      </c>
      <c r="AX59" s="46">
        <v>18</v>
      </c>
      <c r="AY59" s="26">
        <v>40483</v>
      </c>
      <c r="AZ59" s="8">
        <v>0.1043999999896966</v>
      </c>
      <c r="BA59" s="61" t="e">
        <f>IF(AX59&lt;'DADOS DOS EMPREENDIMENTOS'!AZ$11,0,IF(AX59='DADOS DOS EMPREENDIMENTOS'!AZ$11,SUM(AZ$41:AZ59)*(1-'DADOS DOS EMPREENDIMENTOS'!#REF!-'DADOS DOS EMPREENDIMENTOS'!#REF!)+'DADOS DOS EMPREENDIMENTOS'!#REF!,IF(AX59='DADOS DOS EMPREENDIMENTOS'!#REF!,'DADOS DOS EMPREENDIMENTOS'!#REF!,AZ59*(1-'DADOS DOS EMPREENDIMENTOS'!#REF!-'DADOS DOS EMPREENDIMENTOS'!#REF!))))</f>
        <v>#REF!</v>
      </c>
      <c r="BC59" s="46">
        <v>18</v>
      </c>
      <c r="BD59" s="26">
        <v>40483</v>
      </c>
      <c r="BE59" s="8">
        <v>0.1043999999896966</v>
      </c>
      <c r="BF59" s="61" t="e">
        <f>IF(BC59&lt;'DADOS DOS EMPREENDIMENTOS'!BE$11,0,IF(BC59='DADOS DOS EMPREENDIMENTOS'!BE$11,SUM(BE$41:BE59)*(1-'DADOS DOS EMPREENDIMENTOS'!#REF!-'DADOS DOS EMPREENDIMENTOS'!#REF!)+'DADOS DOS EMPREENDIMENTOS'!#REF!,IF(BC59='DADOS DOS EMPREENDIMENTOS'!#REF!,'DADOS DOS EMPREENDIMENTOS'!#REF!,BE59*(1-'DADOS DOS EMPREENDIMENTOS'!#REF!-'DADOS DOS EMPREENDIMENTOS'!#REF!))))</f>
        <v>#REF!</v>
      </c>
      <c r="BH59" s="46">
        <v>18</v>
      </c>
      <c r="BI59" s="26">
        <v>40483</v>
      </c>
      <c r="BJ59" s="8">
        <v>0.1043999999896966</v>
      </c>
      <c r="BK59" s="61" t="e">
        <f>IF(BH59&lt;'DADOS DOS EMPREENDIMENTOS'!BJ$11,0,IF(BH59='DADOS DOS EMPREENDIMENTOS'!BJ$11,SUM(BJ$41:BJ59)*(1-'DADOS DOS EMPREENDIMENTOS'!#REF!-'DADOS DOS EMPREENDIMENTOS'!#REF!)+'DADOS DOS EMPREENDIMENTOS'!#REF!,IF(BH59='DADOS DOS EMPREENDIMENTOS'!#REF!,'DADOS DOS EMPREENDIMENTOS'!#REF!,BJ59*(1-'DADOS DOS EMPREENDIMENTOS'!#REF!-'DADOS DOS EMPREENDIMENTOS'!#REF!))))</f>
        <v>#REF!</v>
      </c>
      <c r="BM59" s="46">
        <v>18</v>
      </c>
      <c r="BN59" s="26">
        <v>40483</v>
      </c>
      <c r="BO59" s="8">
        <v>0.1043999999896966</v>
      </c>
      <c r="BP59" s="61" t="e">
        <f>IF(BM59&lt;'DADOS DOS EMPREENDIMENTOS'!BO$11,0,IF(BM59='DADOS DOS EMPREENDIMENTOS'!BO$11,SUM(BO$41:BO59)*(1-'DADOS DOS EMPREENDIMENTOS'!#REF!-'DADOS DOS EMPREENDIMENTOS'!#REF!)+'DADOS DOS EMPREENDIMENTOS'!#REF!,IF(BM59='DADOS DOS EMPREENDIMENTOS'!BO$12,'DADOS DOS EMPREENDIMENTOS'!#REF!,BO59*(1-'DADOS DOS EMPREENDIMENTOS'!#REF!-'DADOS DOS EMPREENDIMENTOS'!#REF!))))</f>
        <v>#REF!</v>
      </c>
      <c r="BR59" s="46">
        <v>18</v>
      </c>
      <c r="BS59" s="26">
        <v>40483</v>
      </c>
      <c r="BT59" s="8">
        <v>0.1043999999896966</v>
      </c>
      <c r="BU59" s="61" t="e">
        <f>IF(BR59&lt;'DADOS DOS EMPREENDIMENTOS'!BT$11,0,IF(BR59='DADOS DOS EMPREENDIMENTOS'!BT$11,SUM(BT$41:BT59)*(1-'DADOS DOS EMPREENDIMENTOS'!#REF!-'DADOS DOS EMPREENDIMENTOS'!#REF!)+'DADOS DOS EMPREENDIMENTOS'!#REF!,IF(BR59='DADOS DOS EMPREENDIMENTOS'!BT$12,'DADOS DOS EMPREENDIMENTOS'!#REF!,BT59*(1-'DADOS DOS EMPREENDIMENTOS'!#REF!-'DADOS DOS EMPREENDIMENTOS'!#REF!))))</f>
        <v>#REF!</v>
      </c>
      <c r="BW59" s="46">
        <v>18</v>
      </c>
      <c r="BX59" s="26">
        <v>40483</v>
      </c>
      <c r="BY59" s="8">
        <v>0.1043999999896966</v>
      </c>
      <c r="BZ59" s="61" t="e">
        <f>IF(BW59&lt;'DADOS DOS EMPREENDIMENTOS'!BY$11,0,IF(BW59='DADOS DOS EMPREENDIMENTOS'!BY$11,SUM(BY$41:BY59)*(1-'DADOS DOS EMPREENDIMENTOS'!#REF!-'DADOS DOS EMPREENDIMENTOS'!#REF!)+'DADOS DOS EMPREENDIMENTOS'!#REF!,IF(BW59='DADOS DOS EMPREENDIMENTOS'!BY$12,'DADOS DOS EMPREENDIMENTOS'!#REF!,BY59*(1-'DADOS DOS EMPREENDIMENTOS'!#REF!-'DADOS DOS EMPREENDIMENTOS'!#REF!))))</f>
        <v>#REF!</v>
      </c>
      <c r="CB59" s="46">
        <v>18</v>
      </c>
      <c r="CC59" s="26">
        <v>40483</v>
      </c>
      <c r="CD59" s="8">
        <v>0.1043999999896966</v>
      </c>
      <c r="CE59" s="61" t="e">
        <f>IF(CB59&lt;'DADOS DOS EMPREENDIMENTOS'!CD$11,0,IF(CB59='DADOS DOS EMPREENDIMENTOS'!CD$11,SUM(CD$41:CD59)*(1-'DADOS DOS EMPREENDIMENTOS'!#REF!-'DADOS DOS EMPREENDIMENTOS'!#REF!)+'DADOS DOS EMPREENDIMENTOS'!#REF!,IF(CB59='DADOS DOS EMPREENDIMENTOS'!CD$12,'DADOS DOS EMPREENDIMENTOS'!#REF!,CD59*(1-'DADOS DOS EMPREENDIMENTOS'!#REF!-'DADOS DOS EMPREENDIMENTOS'!#REF!))))</f>
        <v>#REF!</v>
      </c>
      <c r="CG59" s="46"/>
      <c r="CH59" s="26"/>
      <c r="CI59" s="8"/>
      <c r="CJ59" s="61"/>
    </row>
    <row r="60" spans="15:88" ht="12.75" customHeight="1" thickBot="1" x14ac:dyDescent="0.25">
      <c r="O60" s="37">
        <v>45</v>
      </c>
      <c r="P60" s="353" t="s">
        <v>299</v>
      </c>
      <c r="Q60" s="356">
        <f>VLOOKUP(P60,Apoio!C:E,2,0)</f>
        <v>223750</v>
      </c>
      <c r="R60" s="355">
        <v>220000</v>
      </c>
      <c r="S60" s="216">
        <v>5</v>
      </c>
      <c r="T60" s="46">
        <v>19</v>
      </c>
      <c r="U60" s="26"/>
      <c r="V60" s="8"/>
      <c r="W60" s="61"/>
      <c r="Y60" s="46">
        <v>19</v>
      </c>
      <c r="Z60" s="26"/>
      <c r="AA60" s="8"/>
      <c r="AB60" s="61"/>
      <c r="AD60" s="46">
        <v>19</v>
      </c>
      <c r="AE60" s="26">
        <v>40513</v>
      </c>
      <c r="AF60" s="8">
        <v>5.6100000154837237E-2</v>
      </c>
      <c r="AG60" s="61" t="e">
        <f>IF(AD60&lt;'DADOS DOS EMPREENDIMENTOS'!AF$11,0,IF(AD60='DADOS DOS EMPREENDIMENTOS'!AF$11,SUM(AF$41:AF60)*(1-'DADOS DOS EMPREENDIMENTOS'!#REF!-'DADOS DOS EMPREENDIMENTOS'!#REF!)+'DADOS DOS EMPREENDIMENTOS'!#REF!,IF(AD60='DADOS DOS EMPREENDIMENTOS'!#REF!,'DADOS DOS EMPREENDIMENTOS'!#REF!,AF60*(1-'DADOS DOS EMPREENDIMENTOS'!#REF!-'DADOS DOS EMPREENDIMENTOS'!#REF!))))</f>
        <v>#REF!</v>
      </c>
      <c r="AI60" s="46">
        <v>19</v>
      </c>
      <c r="AJ60" s="26">
        <v>40513</v>
      </c>
      <c r="AK60" s="8">
        <v>5.6100000154837237E-2</v>
      </c>
      <c r="AL60" s="61" t="e">
        <f>IF(AI60&lt;'DADOS DOS EMPREENDIMENTOS'!AK$11,0,IF(AI60='DADOS DOS EMPREENDIMENTOS'!AK$11,SUM(AK$41:AK60)*(1-'DADOS DOS EMPREENDIMENTOS'!#REF!-'DADOS DOS EMPREENDIMENTOS'!#REF!)+'DADOS DOS EMPREENDIMENTOS'!#REF!,IF(AI60='DADOS DOS EMPREENDIMENTOS'!#REF!,'DADOS DOS EMPREENDIMENTOS'!#REF!,AK60*(1-'DADOS DOS EMPREENDIMENTOS'!#REF!-'DADOS DOS EMPREENDIMENTOS'!#REF!))))</f>
        <v>#REF!</v>
      </c>
      <c r="AN60" s="46">
        <v>19</v>
      </c>
      <c r="AO60" s="26">
        <v>40513</v>
      </c>
      <c r="AP60" s="8">
        <v>5.6100000154837237E-2</v>
      </c>
      <c r="AQ60" s="61" t="e">
        <f>IF(AN60&lt;'DADOS DOS EMPREENDIMENTOS'!AP$11,0,IF(AN60='DADOS DOS EMPREENDIMENTOS'!AP$11,SUM(AP$41:AP60)*(1-'DADOS DOS EMPREENDIMENTOS'!#REF!-'DADOS DOS EMPREENDIMENTOS'!#REF!)+'DADOS DOS EMPREENDIMENTOS'!#REF!,IF(AN60='DADOS DOS EMPREENDIMENTOS'!#REF!,'DADOS DOS EMPREENDIMENTOS'!#REF!,AP60*(1-'DADOS DOS EMPREENDIMENTOS'!#REF!-'DADOS DOS EMPREENDIMENTOS'!#REF!))))</f>
        <v>#REF!</v>
      </c>
      <c r="AS60" s="46">
        <v>19</v>
      </c>
      <c r="AT60" s="26">
        <v>40513</v>
      </c>
      <c r="AU60" s="8">
        <v>5.6100000154837237E-2</v>
      </c>
      <c r="AV60" s="61" t="e">
        <f>IF(AS60&lt;'DADOS DOS EMPREENDIMENTOS'!AU$11,0,IF(AS60='DADOS DOS EMPREENDIMENTOS'!AU$11,SUM(AU$41:AU60)*(1-'DADOS DOS EMPREENDIMENTOS'!#REF!-'DADOS DOS EMPREENDIMENTOS'!#REF!)+'DADOS DOS EMPREENDIMENTOS'!#REF!,IF(AS60='DADOS DOS EMPREENDIMENTOS'!#REF!,'DADOS DOS EMPREENDIMENTOS'!#REF!,AU60*(1-'DADOS DOS EMPREENDIMENTOS'!#REF!-'DADOS DOS EMPREENDIMENTOS'!#REF!))))</f>
        <v>#REF!</v>
      </c>
      <c r="AX60" s="46">
        <v>19</v>
      </c>
      <c r="AY60" s="26">
        <v>40513</v>
      </c>
      <c r="AZ60" s="8">
        <v>5.6100000154837237E-2</v>
      </c>
      <c r="BA60" s="61" t="e">
        <f>IF(AX60&lt;'DADOS DOS EMPREENDIMENTOS'!AZ$11,0,IF(AX60='DADOS DOS EMPREENDIMENTOS'!AZ$11,SUM(AZ$41:AZ60)*(1-'DADOS DOS EMPREENDIMENTOS'!#REF!-'DADOS DOS EMPREENDIMENTOS'!#REF!)+'DADOS DOS EMPREENDIMENTOS'!#REF!,IF(AX60='DADOS DOS EMPREENDIMENTOS'!#REF!,'DADOS DOS EMPREENDIMENTOS'!#REF!,AZ60*(1-'DADOS DOS EMPREENDIMENTOS'!#REF!-'DADOS DOS EMPREENDIMENTOS'!#REF!))))</f>
        <v>#REF!</v>
      </c>
      <c r="BC60" s="46">
        <v>19</v>
      </c>
      <c r="BD60" s="26">
        <v>40513</v>
      </c>
      <c r="BE60" s="8">
        <v>5.6100000154837237E-2</v>
      </c>
      <c r="BF60" s="61" t="e">
        <f>IF(BC60&lt;'DADOS DOS EMPREENDIMENTOS'!BE$11,0,IF(BC60='DADOS DOS EMPREENDIMENTOS'!BE$11,SUM(BE$41:BE60)*(1-'DADOS DOS EMPREENDIMENTOS'!#REF!-'DADOS DOS EMPREENDIMENTOS'!#REF!)+'DADOS DOS EMPREENDIMENTOS'!#REF!,IF(BC60='DADOS DOS EMPREENDIMENTOS'!#REF!,'DADOS DOS EMPREENDIMENTOS'!#REF!,BE60*(1-'DADOS DOS EMPREENDIMENTOS'!#REF!-'DADOS DOS EMPREENDIMENTOS'!#REF!))))</f>
        <v>#REF!</v>
      </c>
      <c r="BH60" s="46">
        <v>19</v>
      </c>
      <c r="BI60" s="26">
        <v>40513</v>
      </c>
      <c r="BJ60" s="8">
        <v>5.6100000154837237E-2</v>
      </c>
      <c r="BK60" s="61" t="e">
        <f>IF(BH60&lt;'DADOS DOS EMPREENDIMENTOS'!BJ$11,0,IF(BH60='DADOS DOS EMPREENDIMENTOS'!BJ$11,SUM(BJ$41:BJ60)*(1-'DADOS DOS EMPREENDIMENTOS'!#REF!-'DADOS DOS EMPREENDIMENTOS'!#REF!)+'DADOS DOS EMPREENDIMENTOS'!#REF!,IF(BH60='DADOS DOS EMPREENDIMENTOS'!#REF!,'DADOS DOS EMPREENDIMENTOS'!#REF!,BJ60*(1-'DADOS DOS EMPREENDIMENTOS'!#REF!-'DADOS DOS EMPREENDIMENTOS'!#REF!))))</f>
        <v>#REF!</v>
      </c>
      <c r="BM60" s="46">
        <v>19</v>
      </c>
      <c r="BN60" s="26">
        <v>40513</v>
      </c>
      <c r="BO60" s="8">
        <v>5.6100000154837237E-2</v>
      </c>
      <c r="BP60" s="61" t="e">
        <f>IF(BM60&lt;'DADOS DOS EMPREENDIMENTOS'!BO$11,0,IF(BM60='DADOS DOS EMPREENDIMENTOS'!BO$11,SUM(BO$41:BO60)*(1-'DADOS DOS EMPREENDIMENTOS'!#REF!-'DADOS DOS EMPREENDIMENTOS'!#REF!)+'DADOS DOS EMPREENDIMENTOS'!#REF!,IF(BM60='DADOS DOS EMPREENDIMENTOS'!BO$12,'DADOS DOS EMPREENDIMENTOS'!#REF!,BO60*(1-'DADOS DOS EMPREENDIMENTOS'!#REF!-'DADOS DOS EMPREENDIMENTOS'!#REF!))))</f>
        <v>#REF!</v>
      </c>
      <c r="BR60" s="46">
        <v>19</v>
      </c>
      <c r="BS60" s="26">
        <v>40513</v>
      </c>
      <c r="BT60" s="8">
        <v>5.6100000154837237E-2</v>
      </c>
      <c r="BU60" s="61" t="e">
        <f>IF(BR60&lt;'DADOS DOS EMPREENDIMENTOS'!BT$11,0,IF(BR60='DADOS DOS EMPREENDIMENTOS'!BT$11,SUM(BT$41:BT60)*(1-'DADOS DOS EMPREENDIMENTOS'!#REF!-'DADOS DOS EMPREENDIMENTOS'!#REF!)+'DADOS DOS EMPREENDIMENTOS'!#REF!,IF(BR60='DADOS DOS EMPREENDIMENTOS'!BT$12,'DADOS DOS EMPREENDIMENTOS'!#REF!,BT60*(1-'DADOS DOS EMPREENDIMENTOS'!#REF!-'DADOS DOS EMPREENDIMENTOS'!#REF!))))</f>
        <v>#REF!</v>
      </c>
      <c r="BW60" s="46">
        <v>19</v>
      </c>
      <c r="BX60" s="26">
        <v>40513</v>
      </c>
      <c r="BY60" s="8">
        <v>5.6100000154837237E-2</v>
      </c>
      <c r="BZ60" s="61" t="e">
        <f>IF(BW60&lt;'DADOS DOS EMPREENDIMENTOS'!BY$11,0,IF(BW60='DADOS DOS EMPREENDIMENTOS'!BY$11,SUM(BY$41:BY60)*(1-'DADOS DOS EMPREENDIMENTOS'!#REF!-'DADOS DOS EMPREENDIMENTOS'!#REF!)+'DADOS DOS EMPREENDIMENTOS'!#REF!,IF(BW60='DADOS DOS EMPREENDIMENTOS'!BY$12,'DADOS DOS EMPREENDIMENTOS'!#REF!,BY60*(1-'DADOS DOS EMPREENDIMENTOS'!#REF!-'DADOS DOS EMPREENDIMENTOS'!#REF!))))</f>
        <v>#REF!</v>
      </c>
      <c r="CB60" s="46">
        <v>19</v>
      </c>
      <c r="CC60" s="26">
        <v>40513</v>
      </c>
      <c r="CD60" s="8">
        <v>5.6100000154837237E-2</v>
      </c>
      <c r="CE60" s="61" t="e">
        <f>IF(CB60&lt;'DADOS DOS EMPREENDIMENTOS'!CD$11,0,IF(CB60='DADOS DOS EMPREENDIMENTOS'!CD$11,SUM(CD$41:CD60)*(1-'DADOS DOS EMPREENDIMENTOS'!#REF!-'DADOS DOS EMPREENDIMENTOS'!#REF!)+'DADOS DOS EMPREENDIMENTOS'!#REF!,IF(CB60='DADOS DOS EMPREENDIMENTOS'!CD$12,'DADOS DOS EMPREENDIMENTOS'!#REF!,CD60*(1-'DADOS DOS EMPREENDIMENTOS'!#REF!-'DADOS DOS EMPREENDIMENTOS'!#REF!))))</f>
        <v>#REF!</v>
      </c>
      <c r="CG60" s="46"/>
      <c r="CH60" s="26"/>
      <c r="CI60" s="8"/>
      <c r="CJ60" s="61"/>
    </row>
    <row r="61" spans="15:88" ht="12.75" customHeight="1" thickBot="1" x14ac:dyDescent="0.25">
      <c r="O61" s="39">
        <v>46</v>
      </c>
      <c r="P61" s="353" t="s">
        <v>300</v>
      </c>
      <c r="Q61" s="356">
        <f>VLOOKUP(P61,Apoio!C:E,2,0)</f>
        <v>223750</v>
      </c>
      <c r="R61" s="355">
        <v>220000</v>
      </c>
      <c r="S61" s="216">
        <v>5</v>
      </c>
      <c r="T61" s="46">
        <v>20</v>
      </c>
      <c r="U61" s="26"/>
      <c r="V61" s="8"/>
      <c r="W61" s="61"/>
      <c r="Y61" s="46">
        <v>20</v>
      </c>
      <c r="Z61" s="26"/>
      <c r="AA61" s="8"/>
      <c r="AB61" s="61"/>
      <c r="AD61" s="46">
        <v>20</v>
      </c>
      <c r="AE61" s="26">
        <v>40544</v>
      </c>
      <c r="AF61" s="8">
        <v>8.9000001265982839E-3</v>
      </c>
      <c r="AG61" s="61" t="e">
        <f>IF(AD61&lt;'DADOS DOS EMPREENDIMENTOS'!AF$11,0,IF(AD61='DADOS DOS EMPREENDIMENTOS'!AF$11,SUM(AF$41:AF61)*(1-'DADOS DOS EMPREENDIMENTOS'!#REF!-'DADOS DOS EMPREENDIMENTOS'!#REF!)+'DADOS DOS EMPREENDIMENTOS'!#REF!,IF(AD61='DADOS DOS EMPREENDIMENTOS'!#REF!,'DADOS DOS EMPREENDIMENTOS'!#REF!,AF61*(1-'DADOS DOS EMPREENDIMENTOS'!#REF!-'DADOS DOS EMPREENDIMENTOS'!#REF!))))</f>
        <v>#REF!</v>
      </c>
      <c r="AI61" s="46">
        <v>20</v>
      </c>
      <c r="AJ61" s="26">
        <v>40544</v>
      </c>
      <c r="AK61" s="8">
        <v>8.9000001265982839E-3</v>
      </c>
      <c r="AL61" s="61" t="e">
        <f>IF(AI61&lt;'DADOS DOS EMPREENDIMENTOS'!AK$11,0,IF(AI61='DADOS DOS EMPREENDIMENTOS'!AK$11,SUM(AK$41:AK61)*(1-'DADOS DOS EMPREENDIMENTOS'!#REF!-'DADOS DOS EMPREENDIMENTOS'!#REF!)+'DADOS DOS EMPREENDIMENTOS'!#REF!,IF(AI61='DADOS DOS EMPREENDIMENTOS'!#REF!,'DADOS DOS EMPREENDIMENTOS'!#REF!,AK61*(1-'DADOS DOS EMPREENDIMENTOS'!#REF!-'DADOS DOS EMPREENDIMENTOS'!#REF!))))</f>
        <v>#REF!</v>
      </c>
      <c r="AN61" s="46">
        <v>20</v>
      </c>
      <c r="AO61" s="26">
        <v>40544</v>
      </c>
      <c r="AP61" s="8">
        <v>8.9000001265982839E-3</v>
      </c>
      <c r="AQ61" s="61" t="e">
        <f>IF(AN61&lt;'DADOS DOS EMPREENDIMENTOS'!AP$11,0,IF(AN61='DADOS DOS EMPREENDIMENTOS'!AP$11,SUM(AP$41:AP61)*(1-'DADOS DOS EMPREENDIMENTOS'!#REF!-'DADOS DOS EMPREENDIMENTOS'!#REF!)+'DADOS DOS EMPREENDIMENTOS'!#REF!,IF(AN61='DADOS DOS EMPREENDIMENTOS'!#REF!,'DADOS DOS EMPREENDIMENTOS'!#REF!,AP61*(1-'DADOS DOS EMPREENDIMENTOS'!#REF!-'DADOS DOS EMPREENDIMENTOS'!#REF!))))</f>
        <v>#REF!</v>
      </c>
      <c r="AS61" s="46">
        <v>20</v>
      </c>
      <c r="AT61" s="26">
        <v>40544</v>
      </c>
      <c r="AU61" s="8">
        <v>8.9000001265982839E-3</v>
      </c>
      <c r="AV61" s="61" t="e">
        <f>IF(AS61&lt;'DADOS DOS EMPREENDIMENTOS'!AU$11,0,IF(AS61='DADOS DOS EMPREENDIMENTOS'!AU$11,SUM(AU$41:AU61)*(1-'DADOS DOS EMPREENDIMENTOS'!#REF!-'DADOS DOS EMPREENDIMENTOS'!#REF!)+'DADOS DOS EMPREENDIMENTOS'!#REF!,IF(AS61='DADOS DOS EMPREENDIMENTOS'!#REF!,'DADOS DOS EMPREENDIMENTOS'!#REF!,AU61*(1-'DADOS DOS EMPREENDIMENTOS'!#REF!-'DADOS DOS EMPREENDIMENTOS'!#REF!))))</f>
        <v>#REF!</v>
      </c>
      <c r="AX61" s="46">
        <v>20</v>
      </c>
      <c r="AY61" s="26">
        <v>40544</v>
      </c>
      <c r="AZ61" s="8">
        <v>8.9000001265982839E-3</v>
      </c>
      <c r="BA61" s="61" t="e">
        <f>IF(AX61&lt;'DADOS DOS EMPREENDIMENTOS'!AZ$11,0,IF(AX61='DADOS DOS EMPREENDIMENTOS'!AZ$11,SUM(AZ$41:AZ61)*(1-'DADOS DOS EMPREENDIMENTOS'!#REF!-'DADOS DOS EMPREENDIMENTOS'!#REF!)+'DADOS DOS EMPREENDIMENTOS'!#REF!,IF(AX61='DADOS DOS EMPREENDIMENTOS'!#REF!,'DADOS DOS EMPREENDIMENTOS'!#REF!,AZ61*(1-'DADOS DOS EMPREENDIMENTOS'!#REF!-'DADOS DOS EMPREENDIMENTOS'!#REF!))))</f>
        <v>#REF!</v>
      </c>
      <c r="BC61" s="46">
        <v>20</v>
      </c>
      <c r="BD61" s="26">
        <v>40544</v>
      </c>
      <c r="BE61" s="8">
        <v>8.9000001265982839E-3</v>
      </c>
      <c r="BF61" s="61" t="e">
        <f>IF(BC61&lt;'DADOS DOS EMPREENDIMENTOS'!BE$11,0,IF(BC61='DADOS DOS EMPREENDIMENTOS'!BE$11,SUM(BE$41:BE61)*(1-'DADOS DOS EMPREENDIMENTOS'!#REF!-'DADOS DOS EMPREENDIMENTOS'!#REF!)+'DADOS DOS EMPREENDIMENTOS'!#REF!,IF(BC61='DADOS DOS EMPREENDIMENTOS'!#REF!,'DADOS DOS EMPREENDIMENTOS'!#REF!,BE61*(1-'DADOS DOS EMPREENDIMENTOS'!#REF!-'DADOS DOS EMPREENDIMENTOS'!#REF!))))</f>
        <v>#REF!</v>
      </c>
      <c r="BH61" s="46">
        <v>20</v>
      </c>
      <c r="BI61" s="26">
        <v>40544</v>
      </c>
      <c r="BJ61" s="8">
        <v>8.9000001265982839E-3</v>
      </c>
      <c r="BK61" s="61" t="e">
        <f>IF(BH61&lt;'DADOS DOS EMPREENDIMENTOS'!BJ$11,0,IF(BH61='DADOS DOS EMPREENDIMENTOS'!BJ$11,SUM(BJ$41:BJ61)*(1-'DADOS DOS EMPREENDIMENTOS'!#REF!-'DADOS DOS EMPREENDIMENTOS'!#REF!)+'DADOS DOS EMPREENDIMENTOS'!#REF!,IF(BH61='DADOS DOS EMPREENDIMENTOS'!#REF!,'DADOS DOS EMPREENDIMENTOS'!#REF!,BJ61*(1-'DADOS DOS EMPREENDIMENTOS'!#REF!-'DADOS DOS EMPREENDIMENTOS'!#REF!))))</f>
        <v>#REF!</v>
      </c>
      <c r="BM61" s="46">
        <v>20</v>
      </c>
      <c r="BN61" s="26">
        <v>40544</v>
      </c>
      <c r="BO61" s="8">
        <v>8.9000001265982839E-3</v>
      </c>
      <c r="BP61" s="61" t="e">
        <f>IF(BM61&lt;'DADOS DOS EMPREENDIMENTOS'!BO$11,0,IF(BM61='DADOS DOS EMPREENDIMENTOS'!BO$11,SUM(BO$41:BO61)*(1-'DADOS DOS EMPREENDIMENTOS'!#REF!-'DADOS DOS EMPREENDIMENTOS'!#REF!)+'DADOS DOS EMPREENDIMENTOS'!#REF!,IF(BM61='DADOS DOS EMPREENDIMENTOS'!BO$12,'DADOS DOS EMPREENDIMENTOS'!#REF!,BO61*(1-'DADOS DOS EMPREENDIMENTOS'!#REF!-'DADOS DOS EMPREENDIMENTOS'!#REF!))))</f>
        <v>#REF!</v>
      </c>
      <c r="BR61" s="46">
        <v>20</v>
      </c>
      <c r="BS61" s="26">
        <v>40544</v>
      </c>
      <c r="BT61" s="8">
        <v>8.9000001265982839E-3</v>
      </c>
      <c r="BU61" s="61" t="e">
        <f>IF(BR61&lt;'DADOS DOS EMPREENDIMENTOS'!BT$11,0,IF(BR61='DADOS DOS EMPREENDIMENTOS'!BT$11,SUM(BT$41:BT61)*(1-'DADOS DOS EMPREENDIMENTOS'!#REF!-'DADOS DOS EMPREENDIMENTOS'!#REF!)+'DADOS DOS EMPREENDIMENTOS'!#REF!,IF(BR61='DADOS DOS EMPREENDIMENTOS'!BT$12,'DADOS DOS EMPREENDIMENTOS'!#REF!,BT61*(1-'DADOS DOS EMPREENDIMENTOS'!#REF!-'DADOS DOS EMPREENDIMENTOS'!#REF!))))</f>
        <v>#REF!</v>
      </c>
      <c r="BW61" s="46">
        <v>20</v>
      </c>
      <c r="BX61" s="26">
        <v>40544</v>
      </c>
      <c r="BY61" s="8">
        <v>8.9000001265982839E-3</v>
      </c>
      <c r="BZ61" s="61" t="e">
        <f>IF(BW61&lt;'DADOS DOS EMPREENDIMENTOS'!BY$11,0,IF(BW61='DADOS DOS EMPREENDIMENTOS'!BY$11,SUM(BY$41:BY61)*(1-'DADOS DOS EMPREENDIMENTOS'!#REF!-'DADOS DOS EMPREENDIMENTOS'!#REF!)+'DADOS DOS EMPREENDIMENTOS'!#REF!,IF(BW61='DADOS DOS EMPREENDIMENTOS'!BY$12,'DADOS DOS EMPREENDIMENTOS'!#REF!,BY61*(1-'DADOS DOS EMPREENDIMENTOS'!#REF!-'DADOS DOS EMPREENDIMENTOS'!#REF!))))</f>
        <v>#REF!</v>
      </c>
      <c r="CB61" s="46">
        <v>20</v>
      </c>
      <c r="CC61" s="26">
        <v>40544</v>
      </c>
      <c r="CD61" s="8">
        <v>8.9000001265982839E-3</v>
      </c>
      <c r="CE61" s="61" t="e">
        <f>IF(CB61&lt;'DADOS DOS EMPREENDIMENTOS'!CD$11,0,IF(CB61='DADOS DOS EMPREENDIMENTOS'!CD$11,SUM(CD$41:CD61)*(1-'DADOS DOS EMPREENDIMENTOS'!#REF!-'DADOS DOS EMPREENDIMENTOS'!#REF!)+'DADOS DOS EMPREENDIMENTOS'!#REF!,IF(CB61='DADOS DOS EMPREENDIMENTOS'!CD$12,'DADOS DOS EMPREENDIMENTOS'!#REF!,CD61*(1-'DADOS DOS EMPREENDIMENTOS'!#REF!-'DADOS DOS EMPREENDIMENTOS'!#REF!))))</f>
        <v>#REF!</v>
      </c>
      <c r="CG61" s="46"/>
      <c r="CH61" s="26"/>
      <c r="CI61" s="8"/>
      <c r="CJ61" s="61"/>
    </row>
    <row r="62" spans="15:88" ht="12.75" customHeight="1" thickBot="1" x14ac:dyDescent="0.25">
      <c r="O62" s="37">
        <v>47</v>
      </c>
      <c r="P62" s="353" t="s">
        <v>301</v>
      </c>
      <c r="Q62" s="356">
        <f>VLOOKUP(P62,Apoio!C:E,2,0)</f>
        <v>222850</v>
      </c>
      <c r="R62" s="355">
        <v>220000</v>
      </c>
      <c r="S62" s="216">
        <v>5</v>
      </c>
      <c r="T62" s="46">
        <v>21</v>
      </c>
      <c r="U62" s="26"/>
      <c r="V62" s="8"/>
      <c r="W62" s="61"/>
      <c r="Y62" s="46">
        <v>21</v>
      </c>
      <c r="Z62" s="26"/>
      <c r="AA62" s="8"/>
      <c r="AB62" s="61"/>
      <c r="AD62" s="46">
        <v>21</v>
      </c>
      <c r="AE62" s="26">
        <v>40575</v>
      </c>
      <c r="AF62" s="8">
        <v>0</v>
      </c>
      <c r="AG62" s="61" t="e">
        <f>IF(AD62&lt;'DADOS DOS EMPREENDIMENTOS'!AF$11,0,IF(AD62='DADOS DOS EMPREENDIMENTOS'!AF$11,SUM(AF$41:AF62)*(1-'DADOS DOS EMPREENDIMENTOS'!#REF!-'DADOS DOS EMPREENDIMENTOS'!#REF!)+'DADOS DOS EMPREENDIMENTOS'!#REF!,IF(AD62='DADOS DOS EMPREENDIMENTOS'!#REF!,'DADOS DOS EMPREENDIMENTOS'!#REF!,AF62*(1-'DADOS DOS EMPREENDIMENTOS'!#REF!-'DADOS DOS EMPREENDIMENTOS'!#REF!))))</f>
        <v>#REF!</v>
      </c>
      <c r="AI62" s="46">
        <v>21</v>
      </c>
      <c r="AJ62" s="26">
        <v>40575</v>
      </c>
      <c r="AK62" s="8">
        <v>0</v>
      </c>
      <c r="AL62" s="61" t="e">
        <f>IF(AI62&lt;'DADOS DOS EMPREENDIMENTOS'!AK$11,0,IF(AI62='DADOS DOS EMPREENDIMENTOS'!AK$11,SUM(AK$41:AK62)*(1-'DADOS DOS EMPREENDIMENTOS'!#REF!-'DADOS DOS EMPREENDIMENTOS'!#REF!)+'DADOS DOS EMPREENDIMENTOS'!#REF!,IF(AI62='DADOS DOS EMPREENDIMENTOS'!#REF!,'DADOS DOS EMPREENDIMENTOS'!#REF!,AK62*(1-'DADOS DOS EMPREENDIMENTOS'!#REF!-'DADOS DOS EMPREENDIMENTOS'!#REF!))))</f>
        <v>#REF!</v>
      </c>
      <c r="AN62" s="46">
        <v>21</v>
      </c>
      <c r="AO62" s="26">
        <v>40575</v>
      </c>
      <c r="AP62" s="8">
        <v>0</v>
      </c>
      <c r="AQ62" s="61" t="e">
        <f>IF(AN62&lt;'DADOS DOS EMPREENDIMENTOS'!AP$11,0,IF(AN62='DADOS DOS EMPREENDIMENTOS'!AP$11,SUM(AP$41:AP62)*(1-'DADOS DOS EMPREENDIMENTOS'!#REF!-'DADOS DOS EMPREENDIMENTOS'!#REF!)+'DADOS DOS EMPREENDIMENTOS'!#REF!,IF(AN62='DADOS DOS EMPREENDIMENTOS'!#REF!,'DADOS DOS EMPREENDIMENTOS'!#REF!,AP62*(1-'DADOS DOS EMPREENDIMENTOS'!#REF!-'DADOS DOS EMPREENDIMENTOS'!#REF!))))</f>
        <v>#REF!</v>
      </c>
      <c r="AS62" s="46">
        <v>21</v>
      </c>
      <c r="AT62" s="26">
        <v>40575</v>
      </c>
      <c r="AU62" s="8">
        <v>0</v>
      </c>
      <c r="AV62" s="61" t="e">
        <f>IF(AS62&lt;'DADOS DOS EMPREENDIMENTOS'!AU$11,0,IF(AS62='DADOS DOS EMPREENDIMENTOS'!AU$11,SUM(AU$41:AU62)*(1-'DADOS DOS EMPREENDIMENTOS'!#REF!-'DADOS DOS EMPREENDIMENTOS'!#REF!)+'DADOS DOS EMPREENDIMENTOS'!#REF!,IF(AS62='DADOS DOS EMPREENDIMENTOS'!#REF!,'DADOS DOS EMPREENDIMENTOS'!#REF!,AU62*(1-'DADOS DOS EMPREENDIMENTOS'!#REF!-'DADOS DOS EMPREENDIMENTOS'!#REF!))))</f>
        <v>#REF!</v>
      </c>
      <c r="AX62" s="46">
        <v>21</v>
      </c>
      <c r="AY62" s="26">
        <v>40575</v>
      </c>
      <c r="AZ62" s="8">
        <v>0</v>
      </c>
      <c r="BA62" s="61" t="e">
        <f>IF(AX62&lt;'DADOS DOS EMPREENDIMENTOS'!AZ$11,0,IF(AX62='DADOS DOS EMPREENDIMENTOS'!AZ$11,SUM(AZ$41:AZ62)*(1-'DADOS DOS EMPREENDIMENTOS'!#REF!-'DADOS DOS EMPREENDIMENTOS'!#REF!)+'DADOS DOS EMPREENDIMENTOS'!#REF!,IF(AX62='DADOS DOS EMPREENDIMENTOS'!#REF!,'DADOS DOS EMPREENDIMENTOS'!#REF!,AZ62*(1-'DADOS DOS EMPREENDIMENTOS'!#REF!-'DADOS DOS EMPREENDIMENTOS'!#REF!))))</f>
        <v>#REF!</v>
      </c>
      <c r="BC62" s="46">
        <v>21</v>
      </c>
      <c r="BD62" s="26">
        <v>40575</v>
      </c>
      <c r="BE62" s="8">
        <v>0</v>
      </c>
      <c r="BF62" s="61" t="e">
        <f>IF(BC62&lt;'DADOS DOS EMPREENDIMENTOS'!BE$11,0,IF(BC62='DADOS DOS EMPREENDIMENTOS'!BE$11,SUM(BE$41:BE62)*(1-'DADOS DOS EMPREENDIMENTOS'!#REF!-'DADOS DOS EMPREENDIMENTOS'!#REF!)+'DADOS DOS EMPREENDIMENTOS'!#REF!,IF(BC62='DADOS DOS EMPREENDIMENTOS'!#REF!,'DADOS DOS EMPREENDIMENTOS'!#REF!,BE62*(1-'DADOS DOS EMPREENDIMENTOS'!#REF!-'DADOS DOS EMPREENDIMENTOS'!#REF!))))</f>
        <v>#REF!</v>
      </c>
      <c r="BH62" s="46">
        <v>21</v>
      </c>
      <c r="BI62" s="26">
        <v>40575</v>
      </c>
      <c r="BJ62" s="8">
        <v>0</v>
      </c>
      <c r="BK62" s="61" t="e">
        <f>IF(BH62&lt;'DADOS DOS EMPREENDIMENTOS'!BJ$11,0,IF(BH62='DADOS DOS EMPREENDIMENTOS'!BJ$11,SUM(BJ$41:BJ62)*(1-'DADOS DOS EMPREENDIMENTOS'!#REF!-'DADOS DOS EMPREENDIMENTOS'!#REF!)+'DADOS DOS EMPREENDIMENTOS'!#REF!,IF(BH62='DADOS DOS EMPREENDIMENTOS'!#REF!,'DADOS DOS EMPREENDIMENTOS'!#REF!,BJ62*(1-'DADOS DOS EMPREENDIMENTOS'!#REF!-'DADOS DOS EMPREENDIMENTOS'!#REF!))))</f>
        <v>#REF!</v>
      </c>
      <c r="BM62" s="46">
        <v>21</v>
      </c>
      <c r="BN62" s="26">
        <v>40575</v>
      </c>
      <c r="BO62" s="8">
        <v>0</v>
      </c>
      <c r="BP62" s="61" t="e">
        <f>IF(BM62&lt;'DADOS DOS EMPREENDIMENTOS'!BO$11,0,IF(BM62='DADOS DOS EMPREENDIMENTOS'!BO$11,SUM(BO$41:BO62)*(1-'DADOS DOS EMPREENDIMENTOS'!#REF!-'DADOS DOS EMPREENDIMENTOS'!#REF!)+'DADOS DOS EMPREENDIMENTOS'!#REF!,IF(BM62='DADOS DOS EMPREENDIMENTOS'!BO$12,'DADOS DOS EMPREENDIMENTOS'!#REF!,BO62*(1-'DADOS DOS EMPREENDIMENTOS'!#REF!-'DADOS DOS EMPREENDIMENTOS'!#REF!))))</f>
        <v>#REF!</v>
      </c>
      <c r="BR62" s="46">
        <v>21</v>
      </c>
      <c r="BS62" s="26">
        <v>40575</v>
      </c>
      <c r="BT62" s="8">
        <v>0</v>
      </c>
      <c r="BU62" s="61" t="e">
        <f>IF(BR62&lt;'DADOS DOS EMPREENDIMENTOS'!BT$11,0,IF(BR62='DADOS DOS EMPREENDIMENTOS'!BT$11,SUM(BT$41:BT62)*(1-'DADOS DOS EMPREENDIMENTOS'!#REF!-'DADOS DOS EMPREENDIMENTOS'!#REF!)+'DADOS DOS EMPREENDIMENTOS'!#REF!,IF(BR62='DADOS DOS EMPREENDIMENTOS'!BT$12,'DADOS DOS EMPREENDIMENTOS'!#REF!,BT62*(1-'DADOS DOS EMPREENDIMENTOS'!#REF!-'DADOS DOS EMPREENDIMENTOS'!#REF!))))</f>
        <v>#REF!</v>
      </c>
      <c r="BW62" s="46">
        <v>21</v>
      </c>
      <c r="BX62" s="26">
        <v>40575</v>
      </c>
      <c r="BY62" s="8">
        <v>0</v>
      </c>
      <c r="BZ62" s="61" t="e">
        <f>IF(BW62&lt;'DADOS DOS EMPREENDIMENTOS'!BY$11,0,IF(BW62='DADOS DOS EMPREENDIMENTOS'!BY$11,SUM(BY$41:BY62)*(1-'DADOS DOS EMPREENDIMENTOS'!#REF!-'DADOS DOS EMPREENDIMENTOS'!#REF!)+'DADOS DOS EMPREENDIMENTOS'!#REF!,IF(BW62='DADOS DOS EMPREENDIMENTOS'!BY$12,'DADOS DOS EMPREENDIMENTOS'!#REF!,BY62*(1-'DADOS DOS EMPREENDIMENTOS'!#REF!-'DADOS DOS EMPREENDIMENTOS'!#REF!))))</f>
        <v>#REF!</v>
      </c>
      <c r="CB62" s="46">
        <v>21</v>
      </c>
      <c r="CC62" s="26">
        <v>40575</v>
      </c>
      <c r="CD62" s="8">
        <v>0</v>
      </c>
      <c r="CE62" s="61" t="e">
        <f>IF(CB62&lt;'DADOS DOS EMPREENDIMENTOS'!CD$11,0,IF(CB62='DADOS DOS EMPREENDIMENTOS'!CD$11,SUM(CD$41:CD62)*(1-'DADOS DOS EMPREENDIMENTOS'!#REF!-'DADOS DOS EMPREENDIMENTOS'!#REF!)+'DADOS DOS EMPREENDIMENTOS'!#REF!,IF(CB62='DADOS DOS EMPREENDIMENTOS'!CD$12,'DADOS DOS EMPREENDIMENTOS'!#REF!,CD62*(1-'DADOS DOS EMPREENDIMENTOS'!#REF!-'DADOS DOS EMPREENDIMENTOS'!#REF!))))</f>
        <v>#REF!</v>
      </c>
      <c r="CG62" s="46"/>
      <c r="CH62" s="26"/>
      <c r="CI62" s="8"/>
      <c r="CJ62" s="61"/>
    </row>
    <row r="63" spans="15:88" ht="12.75" customHeight="1" thickBot="1" x14ac:dyDescent="0.25">
      <c r="O63" s="39">
        <v>48</v>
      </c>
      <c r="P63" s="353" t="s">
        <v>302</v>
      </c>
      <c r="Q63" s="356">
        <f>VLOOKUP(P63,Apoio!C:E,2,0)</f>
        <v>222850</v>
      </c>
      <c r="R63" s="355">
        <v>220000</v>
      </c>
      <c r="S63" s="216">
        <v>5</v>
      </c>
      <c r="T63" s="46">
        <v>22</v>
      </c>
      <c r="U63" s="26"/>
      <c r="V63" s="8"/>
      <c r="W63" s="61"/>
      <c r="Y63" s="46">
        <v>22</v>
      </c>
      <c r="Z63" s="26"/>
      <c r="AA63" s="8"/>
      <c r="AB63" s="61"/>
      <c r="AD63" s="46">
        <v>22</v>
      </c>
      <c r="AE63" s="26">
        <v>40603</v>
      </c>
      <c r="AF63" s="8">
        <v>0</v>
      </c>
      <c r="AG63" s="61" t="e">
        <f>IF(AD63&lt;'DADOS DOS EMPREENDIMENTOS'!AF$11,0,IF(AD63='DADOS DOS EMPREENDIMENTOS'!AF$11,SUM(AF$41:AF63)*(1-'DADOS DOS EMPREENDIMENTOS'!#REF!-'DADOS DOS EMPREENDIMENTOS'!#REF!)+'DADOS DOS EMPREENDIMENTOS'!#REF!,IF(AD63='DADOS DOS EMPREENDIMENTOS'!#REF!,'DADOS DOS EMPREENDIMENTOS'!#REF!,AF63*(1-'DADOS DOS EMPREENDIMENTOS'!#REF!-'DADOS DOS EMPREENDIMENTOS'!#REF!))))</f>
        <v>#REF!</v>
      </c>
      <c r="AI63" s="46">
        <v>22</v>
      </c>
      <c r="AJ63" s="26">
        <v>40603</v>
      </c>
      <c r="AK63" s="8">
        <v>0</v>
      </c>
      <c r="AL63" s="61" t="e">
        <f>IF(AI63&lt;'DADOS DOS EMPREENDIMENTOS'!AK$11,0,IF(AI63='DADOS DOS EMPREENDIMENTOS'!AK$11,SUM(AK$41:AK63)*(1-'DADOS DOS EMPREENDIMENTOS'!#REF!-'DADOS DOS EMPREENDIMENTOS'!#REF!)+'DADOS DOS EMPREENDIMENTOS'!#REF!,IF(AI63='DADOS DOS EMPREENDIMENTOS'!#REF!,'DADOS DOS EMPREENDIMENTOS'!#REF!,AK63*(1-'DADOS DOS EMPREENDIMENTOS'!#REF!-'DADOS DOS EMPREENDIMENTOS'!#REF!))))</f>
        <v>#REF!</v>
      </c>
      <c r="AN63" s="46">
        <v>22</v>
      </c>
      <c r="AO63" s="26">
        <v>40603</v>
      </c>
      <c r="AP63" s="8">
        <v>0</v>
      </c>
      <c r="AQ63" s="61" t="e">
        <f>IF(AN63&lt;'DADOS DOS EMPREENDIMENTOS'!AP$11,0,IF(AN63='DADOS DOS EMPREENDIMENTOS'!AP$11,SUM(AP$41:AP63)*(1-'DADOS DOS EMPREENDIMENTOS'!#REF!-'DADOS DOS EMPREENDIMENTOS'!#REF!)+'DADOS DOS EMPREENDIMENTOS'!#REF!,IF(AN63='DADOS DOS EMPREENDIMENTOS'!#REF!,'DADOS DOS EMPREENDIMENTOS'!#REF!,AP63*(1-'DADOS DOS EMPREENDIMENTOS'!#REF!-'DADOS DOS EMPREENDIMENTOS'!#REF!))))</f>
        <v>#REF!</v>
      </c>
      <c r="AS63" s="46">
        <v>22</v>
      </c>
      <c r="AT63" s="26">
        <v>40603</v>
      </c>
      <c r="AU63" s="8">
        <v>0</v>
      </c>
      <c r="AV63" s="61" t="e">
        <f>IF(AS63&lt;'DADOS DOS EMPREENDIMENTOS'!AU$11,0,IF(AS63='DADOS DOS EMPREENDIMENTOS'!AU$11,SUM(AU$41:AU63)*(1-'DADOS DOS EMPREENDIMENTOS'!#REF!-'DADOS DOS EMPREENDIMENTOS'!#REF!)+'DADOS DOS EMPREENDIMENTOS'!#REF!,IF(AS63='DADOS DOS EMPREENDIMENTOS'!#REF!,'DADOS DOS EMPREENDIMENTOS'!#REF!,AU63*(1-'DADOS DOS EMPREENDIMENTOS'!#REF!-'DADOS DOS EMPREENDIMENTOS'!#REF!))))</f>
        <v>#REF!</v>
      </c>
      <c r="AX63" s="46">
        <v>22</v>
      </c>
      <c r="AY63" s="26">
        <v>40603</v>
      </c>
      <c r="AZ63" s="8">
        <v>0</v>
      </c>
      <c r="BA63" s="61" t="e">
        <f>IF(AX63&lt;'DADOS DOS EMPREENDIMENTOS'!AZ$11,0,IF(AX63='DADOS DOS EMPREENDIMENTOS'!AZ$11,SUM(AZ$41:AZ63)*(1-'DADOS DOS EMPREENDIMENTOS'!#REF!-'DADOS DOS EMPREENDIMENTOS'!#REF!)+'DADOS DOS EMPREENDIMENTOS'!#REF!,IF(AX63='DADOS DOS EMPREENDIMENTOS'!#REF!,'DADOS DOS EMPREENDIMENTOS'!#REF!,AZ63*(1-'DADOS DOS EMPREENDIMENTOS'!#REF!-'DADOS DOS EMPREENDIMENTOS'!#REF!))))</f>
        <v>#REF!</v>
      </c>
      <c r="BC63" s="46">
        <v>22</v>
      </c>
      <c r="BD63" s="26">
        <v>40603</v>
      </c>
      <c r="BE63" s="8">
        <v>0</v>
      </c>
      <c r="BF63" s="61" t="e">
        <f>IF(BC63&lt;'DADOS DOS EMPREENDIMENTOS'!BE$11,0,IF(BC63='DADOS DOS EMPREENDIMENTOS'!BE$11,SUM(BE$41:BE63)*(1-'DADOS DOS EMPREENDIMENTOS'!#REF!-'DADOS DOS EMPREENDIMENTOS'!#REF!)+'DADOS DOS EMPREENDIMENTOS'!#REF!,IF(BC63='DADOS DOS EMPREENDIMENTOS'!#REF!,'DADOS DOS EMPREENDIMENTOS'!#REF!,BE63*(1-'DADOS DOS EMPREENDIMENTOS'!#REF!-'DADOS DOS EMPREENDIMENTOS'!#REF!))))</f>
        <v>#REF!</v>
      </c>
      <c r="BH63" s="46">
        <v>22</v>
      </c>
      <c r="BI63" s="26">
        <v>40603</v>
      </c>
      <c r="BJ63" s="8">
        <v>0</v>
      </c>
      <c r="BK63" s="61" t="e">
        <f>IF(BH63&lt;'DADOS DOS EMPREENDIMENTOS'!BJ$11,0,IF(BH63='DADOS DOS EMPREENDIMENTOS'!BJ$11,SUM(BJ$41:BJ63)*(1-'DADOS DOS EMPREENDIMENTOS'!#REF!-'DADOS DOS EMPREENDIMENTOS'!#REF!)+'DADOS DOS EMPREENDIMENTOS'!#REF!,IF(BH63='DADOS DOS EMPREENDIMENTOS'!#REF!,'DADOS DOS EMPREENDIMENTOS'!#REF!,BJ63*(1-'DADOS DOS EMPREENDIMENTOS'!#REF!-'DADOS DOS EMPREENDIMENTOS'!#REF!))))</f>
        <v>#REF!</v>
      </c>
      <c r="BM63" s="46">
        <v>22</v>
      </c>
      <c r="BN63" s="26">
        <v>40603</v>
      </c>
      <c r="BO63" s="8">
        <v>0</v>
      </c>
      <c r="BP63" s="61" t="e">
        <f>IF(BM63&lt;'DADOS DOS EMPREENDIMENTOS'!BO$11,0,IF(BM63='DADOS DOS EMPREENDIMENTOS'!BO$11,SUM(BO$41:BO63)*(1-'DADOS DOS EMPREENDIMENTOS'!#REF!-'DADOS DOS EMPREENDIMENTOS'!#REF!)+'DADOS DOS EMPREENDIMENTOS'!#REF!,IF(BM63='DADOS DOS EMPREENDIMENTOS'!BO$12,'DADOS DOS EMPREENDIMENTOS'!#REF!,BO63*(1-'DADOS DOS EMPREENDIMENTOS'!#REF!-'DADOS DOS EMPREENDIMENTOS'!#REF!))))</f>
        <v>#REF!</v>
      </c>
      <c r="BR63" s="46">
        <v>22</v>
      </c>
      <c r="BS63" s="26">
        <v>40603</v>
      </c>
      <c r="BT63" s="8">
        <v>0</v>
      </c>
      <c r="BU63" s="61" t="e">
        <f>IF(BR63&lt;'DADOS DOS EMPREENDIMENTOS'!BT$11,0,IF(BR63='DADOS DOS EMPREENDIMENTOS'!BT$11,SUM(BT$41:BT63)*(1-'DADOS DOS EMPREENDIMENTOS'!#REF!-'DADOS DOS EMPREENDIMENTOS'!#REF!)+'DADOS DOS EMPREENDIMENTOS'!#REF!,IF(BR63='DADOS DOS EMPREENDIMENTOS'!BT$12,'DADOS DOS EMPREENDIMENTOS'!#REF!,BT63*(1-'DADOS DOS EMPREENDIMENTOS'!#REF!-'DADOS DOS EMPREENDIMENTOS'!#REF!))))</f>
        <v>#REF!</v>
      </c>
      <c r="BW63" s="46">
        <v>22</v>
      </c>
      <c r="BX63" s="26">
        <v>40603</v>
      </c>
      <c r="BY63" s="8">
        <v>0</v>
      </c>
      <c r="BZ63" s="61" t="e">
        <f>IF(BW63&lt;'DADOS DOS EMPREENDIMENTOS'!BY$11,0,IF(BW63='DADOS DOS EMPREENDIMENTOS'!BY$11,SUM(BY$41:BY63)*(1-'DADOS DOS EMPREENDIMENTOS'!#REF!-'DADOS DOS EMPREENDIMENTOS'!#REF!)+'DADOS DOS EMPREENDIMENTOS'!#REF!,IF(BW63='DADOS DOS EMPREENDIMENTOS'!BY$12,'DADOS DOS EMPREENDIMENTOS'!#REF!,BY63*(1-'DADOS DOS EMPREENDIMENTOS'!#REF!-'DADOS DOS EMPREENDIMENTOS'!#REF!))))</f>
        <v>#REF!</v>
      </c>
      <c r="CB63" s="46">
        <v>22</v>
      </c>
      <c r="CC63" s="26">
        <v>40603</v>
      </c>
      <c r="CD63" s="8">
        <v>0</v>
      </c>
      <c r="CE63" s="61" t="e">
        <f>IF(CB63&lt;'DADOS DOS EMPREENDIMENTOS'!CD$11,0,IF(CB63='DADOS DOS EMPREENDIMENTOS'!CD$11,SUM(CD$41:CD63)*(1-'DADOS DOS EMPREENDIMENTOS'!#REF!-'DADOS DOS EMPREENDIMENTOS'!#REF!)+'DADOS DOS EMPREENDIMENTOS'!#REF!,IF(CB63='DADOS DOS EMPREENDIMENTOS'!CD$12,'DADOS DOS EMPREENDIMENTOS'!#REF!,CD63*(1-'DADOS DOS EMPREENDIMENTOS'!#REF!-'DADOS DOS EMPREENDIMENTOS'!#REF!))))</f>
        <v>#REF!</v>
      </c>
      <c r="CG63" s="46"/>
      <c r="CH63" s="26"/>
      <c r="CI63" s="8"/>
      <c r="CJ63" s="61"/>
    </row>
    <row r="64" spans="15:88" ht="12.75" customHeight="1" thickBot="1" x14ac:dyDescent="0.25">
      <c r="O64" s="37">
        <v>49</v>
      </c>
      <c r="P64" s="353" t="s">
        <v>303</v>
      </c>
      <c r="Q64" s="356">
        <f>VLOOKUP(P64,Apoio!C:E,2,0)</f>
        <v>223750</v>
      </c>
      <c r="R64" s="355">
        <v>220000</v>
      </c>
      <c r="S64" s="216">
        <v>5</v>
      </c>
      <c r="T64" s="46">
        <v>23</v>
      </c>
      <c r="U64" s="26"/>
      <c r="V64" s="8"/>
      <c r="W64" s="61"/>
      <c r="Y64" s="46">
        <v>23</v>
      </c>
      <c r="Z64" s="26"/>
      <c r="AA64" s="8"/>
      <c r="AB64" s="61"/>
      <c r="AD64" s="46">
        <v>23</v>
      </c>
      <c r="AE64" s="26">
        <v>40634</v>
      </c>
      <c r="AF64" s="8">
        <v>0</v>
      </c>
      <c r="AG64" s="61" t="e">
        <f>IF(AD64&lt;'DADOS DOS EMPREENDIMENTOS'!AF$11,0,IF(AD64='DADOS DOS EMPREENDIMENTOS'!AF$11,SUM(AF$41:AF64)*(1-'DADOS DOS EMPREENDIMENTOS'!#REF!-'DADOS DOS EMPREENDIMENTOS'!#REF!)+'DADOS DOS EMPREENDIMENTOS'!#REF!,IF(AD64='DADOS DOS EMPREENDIMENTOS'!#REF!,'DADOS DOS EMPREENDIMENTOS'!#REF!,AF64*(1-'DADOS DOS EMPREENDIMENTOS'!#REF!-'DADOS DOS EMPREENDIMENTOS'!#REF!))))</f>
        <v>#REF!</v>
      </c>
      <c r="AI64" s="46">
        <v>23</v>
      </c>
      <c r="AJ64" s="26">
        <v>40634</v>
      </c>
      <c r="AK64" s="8">
        <v>0</v>
      </c>
      <c r="AL64" s="61" t="e">
        <f>IF(AI64&lt;'DADOS DOS EMPREENDIMENTOS'!AK$11,0,IF(AI64='DADOS DOS EMPREENDIMENTOS'!AK$11,SUM(AK$41:AK64)*(1-'DADOS DOS EMPREENDIMENTOS'!#REF!-'DADOS DOS EMPREENDIMENTOS'!#REF!)+'DADOS DOS EMPREENDIMENTOS'!#REF!,IF(AI64='DADOS DOS EMPREENDIMENTOS'!#REF!,'DADOS DOS EMPREENDIMENTOS'!#REF!,AK64*(1-'DADOS DOS EMPREENDIMENTOS'!#REF!-'DADOS DOS EMPREENDIMENTOS'!#REF!))))</f>
        <v>#REF!</v>
      </c>
      <c r="AN64" s="46">
        <v>23</v>
      </c>
      <c r="AO64" s="26">
        <v>40634</v>
      </c>
      <c r="AP64" s="8">
        <v>0</v>
      </c>
      <c r="AQ64" s="61" t="e">
        <f>IF(AN64&lt;'DADOS DOS EMPREENDIMENTOS'!AP$11,0,IF(AN64='DADOS DOS EMPREENDIMENTOS'!AP$11,SUM(AP$41:AP64)*(1-'DADOS DOS EMPREENDIMENTOS'!#REF!-'DADOS DOS EMPREENDIMENTOS'!#REF!)+'DADOS DOS EMPREENDIMENTOS'!#REF!,IF(AN64='DADOS DOS EMPREENDIMENTOS'!#REF!,'DADOS DOS EMPREENDIMENTOS'!#REF!,AP64*(1-'DADOS DOS EMPREENDIMENTOS'!#REF!-'DADOS DOS EMPREENDIMENTOS'!#REF!))))</f>
        <v>#REF!</v>
      </c>
      <c r="AS64" s="46">
        <v>23</v>
      </c>
      <c r="AT64" s="26">
        <v>40634</v>
      </c>
      <c r="AU64" s="8">
        <v>0</v>
      </c>
      <c r="AV64" s="61" t="e">
        <f>IF(AS64&lt;'DADOS DOS EMPREENDIMENTOS'!AU$11,0,IF(AS64='DADOS DOS EMPREENDIMENTOS'!AU$11,SUM(AU$41:AU64)*(1-'DADOS DOS EMPREENDIMENTOS'!#REF!-'DADOS DOS EMPREENDIMENTOS'!#REF!)+'DADOS DOS EMPREENDIMENTOS'!#REF!,IF(AS64='DADOS DOS EMPREENDIMENTOS'!#REF!,'DADOS DOS EMPREENDIMENTOS'!#REF!,AU64*(1-'DADOS DOS EMPREENDIMENTOS'!#REF!-'DADOS DOS EMPREENDIMENTOS'!#REF!))))</f>
        <v>#REF!</v>
      </c>
      <c r="AX64" s="46">
        <v>23</v>
      </c>
      <c r="AY64" s="26">
        <v>40634</v>
      </c>
      <c r="AZ64" s="8">
        <v>0</v>
      </c>
      <c r="BA64" s="61" t="e">
        <f>IF(AX64&lt;'DADOS DOS EMPREENDIMENTOS'!AZ$11,0,IF(AX64='DADOS DOS EMPREENDIMENTOS'!AZ$11,SUM(AZ$41:AZ64)*(1-'DADOS DOS EMPREENDIMENTOS'!#REF!-'DADOS DOS EMPREENDIMENTOS'!#REF!)+'DADOS DOS EMPREENDIMENTOS'!#REF!,IF(AX64='DADOS DOS EMPREENDIMENTOS'!#REF!,'DADOS DOS EMPREENDIMENTOS'!#REF!,AZ64*(1-'DADOS DOS EMPREENDIMENTOS'!#REF!-'DADOS DOS EMPREENDIMENTOS'!#REF!))))</f>
        <v>#REF!</v>
      </c>
      <c r="BC64" s="46">
        <v>23</v>
      </c>
      <c r="BD64" s="26">
        <v>40634</v>
      </c>
      <c r="BE64" s="8">
        <v>0</v>
      </c>
      <c r="BF64" s="61" t="e">
        <f>IF(BC64&lt;'DADOS DOS EMPREENDIMENTOS'!BE$11,0,IF(BC64='DADOS DOS EMPREENDIMENTOS'!BE$11,SUM(BE$41:BE64)*(1-'DADOS DOS EMPREENDIMENTOS'!#REF!-'DADOS DOS EMPREENDIMENTOS'!#REF!)+'DADOS DOS EMPREENDIMENTOS'!#REF!,IF(BC64='DADOS DOS EMPREENDIMENTOS'!#REF!,'DADOS DOS EMPREENDIMENTOS'!#REF!,BE64*(1-'DADOS DOS EMPREENDIMENTOS'!#REF!-'DADOS DOS EMPREENDIMENTOS'!#REF!))))</f>
        <v>#REF!</v>
      </c>
      <c r="BH64" s="46">
        <v>23</v>
      </c>
      <c r="BI64" s="26">
        <v>40634</v>
      </c>
      <c r="BJ64" s="8">
        <v>0</v>
      </c>
      <c r="BK64" s="61" t="e">
        <f>IF(BH64&lt;'DADOS DOS EMPREENDIMENTOS'!BJ$11,0,IF(BH64='DADOS DOS EMPREENDIMENTOS'!BJ$11,SUM(BJ$41:BJ64)*(1-'DADOS DOS EMPREENDIMENTOS'!#REF!-'DADOS DOS EMPREENDIMENTOS'!#REF!)+'DADOS DOS EMPREENDIMENTOS'!#REF!,IF(BH64='DADOS DOS EMPREENDIMENTOS'!#REF!,'DADOS DOS EMPREENDIMENTOS'!#REF!,BJ64*(1-'DADOS DOS EMPREENDIMENTOS'!#REF!-'DADOS DOS EMPREENDIMENTOS'!#REF!))))</f>
        <v>#REF!</v>
      </c>
      <c r="BM64" s="46">
        <v>23</v>
      </c>
      <c r="BN64" s="26">
        <v>40634</v>
      </c>
      <c r="BO64" s="8">
        <v>0</v>
      </c>
      <c r="BP64" s="61" t="e">
        <f>IF(BM64&lt;'DADOS DOS EMPREENDIMENTOS'!BO$11,0,IF(BM64='DADOS DOS EMPREENDIMENTOS'!BO$11,SUM(BO$41:BO64)*(1-'DADOS DOS EMPREENDIMENTOS'!#REF!-'DADOS DOS EMPREENDIMENTOS'!#REF!)+'DADOS DOS EMPREENDIMENTOS'!#REF!,IF(BM64='DADOS DOS EMPREENDIMENTOS'!BO$12,'DADOS DOS EMPREENDIMENTOS'!#REF!,BO64*(1-'DADOS DOS EMPREENDIMENTOS'!#REF!-'DADOS DOS EMPREENDIMENTOS'!#REF!))))</f>
        <v>#REF!</v>
      </c>
      <c r="BR64" s="46">
        <v>23</v>
      </c>
      <c r="BS64" s="26">
        <v>40634</v>
      </c>
      <c r="BT64" s="8">
        <v>0</v>
      </c>
      <c r="BU64" s="61" t="e">
        <f>IF(BR64&lt;'DADOS DOS EMPREENDIMENTOS'!BT$11,0,IF(BR64='DADOS DOS EMPREENDIMENTOS'!BT$11,SUM(BT$41:BT64)*(1-'DADOS DOS EMPREENDIMENTOS'!#REF!-'DADOS DOS EMPREENDIMENTOS'!#REF!)+'DADOS DOS EMPREENDIMENTOS'!#REF!,IF(BR64='DADOS DOS EMPREENDIMENTOS'!BT$12,'DADOS DOS EMPREENDIMENTOS'!#REF!,BT64*(1-'DADOS DOS EMPREENDIMENTOS'!#REF!-'DADOS DOS EMPREENDIMENTOS'!#REF!))))</f>
        <v>#REF!</v>
      </c>
      <c r="BW64" s="46">
        <v>23</v>
      </c>
      <c r="BX64" s="26">
        <v>40634</v>
      </c>
      <c r="BY64" s="8">
        <v>0</v>
      </c>
      <c r="BZ64" s="61" t="e">
        <f>IF(BW64&lt;'DADOS DOS EMPREENDIMENTOS'!BY$11,0,IF(BW64='DADOS DOS EMPREENDIMENTOS'!BY$11,SUM(BY$41:BY64)*(1-'DADOS DOS EMPREENDIMENTOS'!#REF!-'DADOS DOS EMPREENDIMENTOS'!#REF!)+'DADOS DOS EMPREENDIMENTOS'!#REF!,IF(BW64='DADOS DOS EMPREENDIMENTOS'!BY$12,'DADOS DOS EMPREENDIMENTOS'!#REF!,BY64*(1-'DADOS DOS EMPREENDIMENTOS'!#REF!-'DADOS DOS EMPREENDIMENTOS'!#REF!))))</f>
        <v>#REF!</v>
      </c>
      <c r="CB64" s="46">
        <v>23</v>
      </c>
      <c r="CC64" s="26">
        <v>40634</v>
      </c>
      <c r="CD64" s="8">
        <v>0</v>
      </c>
      <c r="CE64" s="61" t="e">
        <f>IF(CB64&lt;'DADOS DOS EMPREENDIMENTOS'!CD$11,0,IF(CB64='DADOS DOS EMPREENDIMENTOS'!CD$11,SUM(CD$41:CD64)*(1-'DADOS DOS EMPREENDIMENTOS'!#REF!-'DADOS DOS EMPREENDIMENTOS'!#REF!)+'DADOS DOS EMPREENDIMENTOS'!#REF!,IF(CB64='DADOS DOS EMPREENDIMENTOS'!CD$12,'DADOS DOS EMPREENDIMENTOS'!#REF!,CD64*(1-'DADOS DOS EMPREENDIMENTOS'!#REF!-'DADOS DOS EMPREENDIMENTOS'!#REF!))))</f>
        <v>#REF!</v>
      </c>
      <c r="CG64" s="46"/>
      <c r="CH64" s="26"/>
      <c r="CI64" s="8"/>
      <c r="CJ64" s="61"/>
    </row>
    <row r="65" spans="15:88" ht="12.75" customHeight="1" thickBot="1" x14ac:dyDescent="0.25">
      <c r="O65" s="39">
        <v>50</v>
      </c>
      <c r="P65" s="353" t="s">
        <v>304</v>
      </c>
      <c r="Q65" s="356">
        <f>VLOOKUP(P65,Apoio!C:E,2,0)</f>
        <v>245020</v>
      </c>
      <c r="R65" s="355">
        <v>223000</v>
      </c>
      <c r="S65" s="216">
        <v>5</v>
      </c>
      <c r="T65" s="46">
        <v>24</v>
      </c>
      <c r="U65" s="26"/>
      <c r="V65" s="8"/>
      <c r="W65" s="61"/>
      <c r="Y65" s="46">
        <v>24</v>
      </c>
      <c r="Z65" s="26"/>
      <c r="AA65" s="8"/>
      <c r="AB65" s="61"/>
      <c r="AD65" s="46">
        <v>24</v>
      </c>
      <c r="AE65" s="26">
        <v>40664</v>
      </c>
      <c r="AF65" s="8">
        <v>0</v>
      </c>
      <c r="AG65" s="61" t="e">
        <f>IF(AD65&lt;'DADOS DOS EMPREENDIMENTOS'!AF$11,0,IF(AD65='DADOS DOS EMPREENDIMENTOS'!AF$11,SUM(AF$41:AF65)*(1-'DADOS DOS EMPREENDIMENTOS'!#REF!-'DADOS DOS EMPREENDIMENTOS'!#REF!)+'DADOS DOS EMPREENDIMENTOS'!#REF!,IF(AD65='DADOS DOS EMPREENDIMENTOS'!#REF!,'DADOS DOS EMPREENDIMENTOS'!#REF!,AF65*(1-'DADOS DOS EMPREENDIMENTOS'!#REF!-'DADOS DOS EMPREENDIMENTOS'!#REF!))))</f>
        <v>#REF!</v>
      </c>
      <c r="AI65" s="46">
        <v>24</v>
      </c>
      <c r="AJ65" s="26">
        <v>40664</v>
      </c>
      <c r="AK65" s="8">
        <v>0</v>
      </c>
      <c r="AL65" s="61" t="e">
        <f>IF(AI65&lt;'DADOS DOS EMPREENDIMENTOS'!AK$11,0,IF(AI65='DADOS DOS EMPREENDIMENTOS'!AK$11,SUM(AK$41:AK65)*(1-'DADOS DOS EMPREENDIMENTOS'!#REF!-'DADOS DOS EMPREENDIMENTOS'!#REF!)+'DADOS DOS EMPREENDIMENTOS'!#REF!,IF(AI65='DADOS DOS EMPREENDIMENTOS'!#REF!,'DADOS DOS EMPREENDIMENTOS'!#REF!,AK65*(1-'DADOS DOS EMPREENDIMENTOS'!#REF!-'DADOS DOS EMPREENDIMENTOS'!#REF!))))</f>
        <v>#REF!</v>
      </c>
      <c r="AN65" s="46">
        <v>24</v>
      </c>
      <c r="AO65" s="26">
        <v>40664</v>
      </c>
      <c r="AP65" s="8">
        <v>0</v>
      </c>
      <c r="AQ65" s="61" t="e">
        <f>IF(AN65&lt;'DADOS DOS EMPREENDIMENTOS'!AP$11,0,IF(AN65='DADOS DOS EMPREENDIMENTOS'!AP$11,SUM(AP$41:AP65)*(1-'DADOS DOS EMPREENDIMENTOS'!#REF!-'DADOS DOS EMPREENDIMENTOS'!#REF!)+'DADOS DOS EMPREENDIMENTOS'!#REF!,IF(AN65='DADOS DOS EMPREENDIMENTOS'!#REF!,'DADOS DOS EMPREENDIMENTOS'!#REF!,AP65*(1-'DADOS DOS EMPREENDIMENTOS'!#REF!-'DADOS DOS EMPREENDIMENTOS'!#REF!))))</f>
        <v>#REF!</v>
      </c>
      <c r="AS65" s="46">
        <v>24</v>
      </c>
      <c r="AT65" s="26">
        <v>40664</v>
      </c>
      <c r="AU65" s="8">
        <v>0</v>
      </c>
      <c r="AV65" s="61" t="e">
        <f>IF(AS65&lt;'DADOS DOS EMPREENDIMENTOS'!AU$11,0,IF(AS65='DADOS DOS EMPREENDIMENTOS'!AU$11,SUM(AU$41:AU65)*(1-'DADOS DOS EMPREENDIMENTOS'!#REF!-'DADOS DOS EMPREENDIMENTOS'!#REF!)+'DADOS DOS EMPREENDIMENTOS'!#REF!,IF(AS65='DADOS DOS EMPREENDIMENTOS'!#REF!,'DADOS DOS EMPREENDIMENTOS'!#REF!,AU65*(1-'DADOS DOS EMPREENDIMENTOS'!#REF!-'DADOS DOS EMPREENDIMENTOS'!#REF!))))</f>
        <v>#REF!</v>
      </c>
      <c r="AX65" s="46">
        <v>24</v>
      </c>
      <c r="AY65" s="26">
        <v>40664</v>
      </c>
      <c r="AZ65" s="8">
        <v>0</v>
      </c>
      <c r="BA65" s="61" t="e">
        <f>IF(AX65&lt;'DADOS DOS EMPREENDIMENTOS'!AZ$11,0,IF(AX65='DADOS DOS EMPREENDIMENTOS'!AZ$11,SUM(AZ$41:AZ65)*(1-'DADOS DOS EMPREENDIMENTOS'!#REF!-'DADOS DOS EMPREENDIMENTOS'!#REF!)+'DADOS DOS EMPREENDIMENTOS'!#REF!,IF(AX65='DADOS DOS EMPREENDIMENTOS'!#REF!,'DADOS DOS EMPREENDIMENTOS'!#REF!,AZ65*(1-'DADOS DOS EMPREENDIMENTOS'!#REF!-'DADOS DOS EMPREENDIMENTOS'!#REF!))))</f>
        <v>#REF!</v>
      </c>
      <c r="BC65" s="46">
        <v>24</v>
      </c>
      <c r="BD65" s="26">
        <v>40664</v>
      </c>
      <c r="BE65" s="8">
        <v>0</v>
      </c>
      <c r="BF65" s="61" t="e">
        <f>IF(BC65&lt;'DADOS DOS EMPREENDIMENTOS'!BE$11,0,IF(BC65='DADOS DOS EMPREENDIMENTOS'!BE$11,SUM(BE$41:BE65)*(1-'DADOS DOS EMPREENDIMENTOS'!#REF!-'DADOS DOS EMPREENDIMENTOS'!#REF!)+'DADOS DOS EMPREENDIMENTOS'!#REF!,IF(BC65='DADOS DOS EMPREENDIMENTOS'!#REF!,'DADOS DOS EMPREENDIMENTOS'!#REF!,BE65*(1-'DADOS DOS EMPREENDIMENTOS'!#REF!-'DADOS DOS EMPREENDIMENTOS'!#REF!))))</f>
        <v>#REF!</v>
      </c>
      <c r="BH65" s="46">
        <v>24</v>
      </c>
      <c r="BI65" s="26">
        <v>40664</v>
      </c>
      <c r="BJ65" s="8">
        <v>0</v>
      </c>
      <c r="BK65" s="61" t="e">
        <f>IF(BH65&lt;'DADOS DOS EMPREENDIMENTOS'!BJ$11,0,IF(BH65='DADOS DOS EMPREENDIMENTOS'!BJ$11,SUM(BJ$41:BJ65)*(1-'DADOS DOS EMPREENDIMENTOS'!#REF!-'DADOS DOS EMPREENDIMENTOS'!#REF!)+'DADOS DOS EMPREENDIMENTOS'!#REF!,IF(BH65='DADOS DOS EMPREENDIMENTOS'!#REF!,'DADOS DOS EMPREENDIMENTOS'!#REF!,BJ65*(1-'DADOS DOS EMPREENDIMENTOS'!#REF!-'DADOS DOS EMPREENDIMENTOS'!#REF!))))</f>
        <v>#REF!</v>
      </c>
      <c r="BM65" s="46">
        <v>24</v>
      </c>
      <c r="BN65" s="26">
        <v>40664</v>
      </c>
      <c r="BO65" s="8">
        <v>0</v>
      </c>
      <c r="BP65" s="61" t="e">
        <f>IF(BM65&lt;'DADOS DOS EMPREENDIMENTOS'!BO$11,0,IF(BM65='DADOS DOS EMPREENDIMENTOS'!BO$11,SUM(BO$41:BO65)*(1-'DADOS DOS EMPREENDIMENTOS'!#REF!-'DADOS DOS EMPREENDIMENTOS'!#REF!)+'DADOS DOS EMPREENDIMENTOS'!#REF!,IF(BM65='DADOS DOS EMPREENDIMENTOS'!BO$12,'DADOS DOS EMPREENDIMENTOS'!#REF!,BO65*(1-'DADOS DOS EMPREENDIMENTOS'!#REF!-'DADOS DOS EMPREENDIMENTOS'!#REF!))))</f>
        <v>#REF!</v>
      </c>
      <c r="BR65" s="46">
        <v>24</v>
      </c>
      <c r="BS65" s="26">
        <v>40664</v>
      </c>
      <c r="BT65" s="8">
        <v>0</v>
      </c>
      <c r="BU65" s="61" t="e">
        <f>IF(BR65&lt;'DADOS DOS EMPREENDIMENTOS'!BT$11,0,IF(BR65='DADOS DOS EMPREENDIMENTOS'!BT$11,SUM(BT$41:BT65)*(1-'DADOS DOS EMPREENDIMENTOS'!#REF!-'DADOS DOS EMPREENDIMENTOS'!#REF!)+'DADOS DOS EMPREENDIMENTOS'!#REF!,IF(BR65='DADOS DOS EMPREENDIMENTOS'!BT$12,'DADOS DOS EMPREENDIMENTOS'!#REF!,BT65*(1-'DADOS DOS EMPREENDIMENTOS'!#REF!-'DADOS DOS EMPREENDIMENTOS'!#REF!))))</f>
        <v>#REF!</v>
      </c>
      <c r="BW65" s="46">
        <v>24</v>
      </c>
      <c r="BX65" s="26">
        <v>40664</v>
      </c>
      <c r="BY65" s="8">
        <v>0</v>
      </c>
      <c r="BZ65" s="61" t="e">
        <f>IF(BW65&lt;'DADOS DOS EMPREENDIMENTOS'!BY$11,0,IF(BW65='DADOS DOS EMPREENDIMENTOS'!BY$11,SUM(BY$41:BY65)*(1-'DADOS DOS EMPREENDIMENTOS'!#REF!-'DADOS DOS EMPREENDIMENTOS'!#REF!)+'DADOS DOS EMPREENDIMENTOS'!#REF!,IF(BW65='DADOS DOS EMPREENDIMENTOS'!BY$12,'DADOS DOS EMPREENDIMENTOS'!#REF!,BY65*(1-'DADOS DOS EMPREENDIMENTOS'!#REF!-'DADOS DOS EMPREENDIMENTOS'!#REF!))))</f>
        <v>#REF!</v>
      </c>
      <c r="CB65" s="46">
        <v>24</v>
      </c>
      <c r="CC65" s="26">
        <v>40664</v>
      </c>
      <c r="CD65" s="8">
        <v>0</v>
      </c>
      <c r="CE65" s="61" t="e">
        <f>IF(CB65&lt;'DADOS DOS EMPREENDIMENTOS'!CD$11,0,IF(CB65='DADOS DOS EMPREENDIMENTOS'!CD$11,SUM(CD$41:CD65)*(1-'DADOS DOS EMPREENDIMENTOS'!#REF!-'DADOS DOS EMPREENDIMENTOS'!#REF!)+'DADOS DOS EMPREENDIMENTOS'!#REF!,IF(CB65='DADOS DOS EMPREENDIMENTOS'!CD$12,'DADOS DOS EMPREENDIMENTOS'!#REF!,CD65*(1-'DADOS DOS EMPREENDIMENTOS'!#REF!-'DADOS DOS EMPREENDIMENTOS'!#REF!))))</f>
        <v>#REF!</v>
      </c>
      <c r="CG65" s="46"/>
      <c r="CH65" s="26"/>
      <c r="CI65" s="8"/>
      <c r="CJ65" s="61"/>
    </row>
    <row r="66" spans="15:88" ht="12.75" customHeight="1" thickBot="1" x14ac:dyDescent="0.25">
      <c r="O66" s="37">
        <v>51</v>
      </c>
      <c r="P66" s="353" t="s">
        <v>305</v>
      </c>
      <c r="Q66" s="356">
        <f>VLOOKUP(P66,Apoio!C:E,2,0)</f>
        <v>245020</v>
      </c>
      <c r="R66" s="355">
        <v>226000</v>
      </c>
      <c r="S66" s="216">
        <v>5</v>
      </c>
      <c r="T66" s="46">
        <v>25</v>
      </c>
      <c r="U66" s="26"/>
      <c r="V66" s="8"/>
      <c r="W66" s="61"/>
      <c r="Y66" s="46">
        <v>25</v>
      </c>
      <c r="Z66" s="26"/>
      <c r="AA66" s="8"/>
      <c r="AB66" s="61"/>
      <c r="AD66" s="46">
        <v>25</v>
      </c>
      <c r="AE66" s="26">
        <v>40695</v>
      </c>
      <c r="AF66" s="8">
        <v>0</v>
      </c>
      <c r="AG66" s="61" t="e">
        <f>IF(AD66&lt;'DADOS DOS EMPREENDIMENTOS'!AF$11,0,IF(AD66='DADOS DOS EMPREENDIMENTOS'!AF$11,SUM(AF$41:AF66)*(1-'DADOS DOS EMPREENDIMENTOS'!#REF!-'DADOS DOS EMPREENDIMENTOS'!#REF!)+'DADOS DOS EMPREENDIMENTOS'!#REF!,IF(AD66='DADOS DOS EMPREENDIMENTOS'!#REF!,'DADOS DOS EMPREENDIMENTOS'!#REF!,AF66*(1-'DADOS DOS EMPREENDIMENTOS'!#REF!-'DADOS DOS EMPREENDIMENTOS'!#REF!))))</f>
        <v>#REF!</v>
      </c>
      <c r="AI66" s="46">
        <v>25</v>
      </c>
      <c r="AJ66" s="26">
        <v>40695</v>
      </c>
      <c r="AK66" s="8">
        <v>0</v>
      </c>
      <c r="AL66" s="61" t="e">
        <f>IF(AI66&lt;'DADOS DOS EMPREENDIMENTOS'!AK$11,0,IF(AI66='DADOS DOS EMPREENDIMENTOS'!AK$11,SUM(AK$41:AK66)*(1-'DADOS DOS EMPREENDIMENTOS'!#REF!-'DADOS DOS EMPREENDIMENTOS'!#REF!)+'DADOS DOS EMPREENDIMENTOS'!#REF!,IF(AI66='DADOS DOS EMPREENDIMENTOS'!#REF!,'DADOS DOS EMPREENDIMENTOS'!#REF!,AK66*(1-'DADOS DOS EMPREENDIMENTOS'!#REF!-'DADOS DOS EMPREENDIMENTOS'!#REF!))))</f>
        <v>#REF!</v>
      </c>
      <c r="AN66" s="46">
        <v>25</v>
      </c>
      <c r="AO66" s="26">
        <v>40695</v>
      </c>
      <c r="AP66" s="8">
        <v>0</v>
      </c>
      <c r="AQ66" s="61" t="e">
        <f>IF(AN66&lt;'DADOS DOS EMPREENDIMENTOS'!AP$11,0,IF(AN66='DADOS DOS EMPREENDIMENTOS'!AP$11,SUM(AP$41:AP66)*(1-'DADOS DOS EMPREENDIMENTOS'!#REF!-'DADOS DOS EMPREENDIMENTOS'!#REF!)+'DADOS DOS EMPREENDIMENTOS'!#REF!,IF(AN66='DADOS DOS EMPREENDIMENTOS'!#REF!,'DADOS DOS EMPREENDIMENTOS'!#REF!,AP66*(1-'DADOS DOS EMPREENDIMENTOS'!#REF!-'DADOS DOS EMPREENDIMENTOS'!#REF!))))</f>
        <v>#REF!</v>
      </c>
      <c r="AS66" s="46">
        <v>25</v>
      </c>
      <c r="AT66" s="26">
        <v>40695</v>
      </c>
      <c r="AU66" s="8">
        <v>0</v>
      </c>
      <c r="AV66" s="61" t="e">
        <f>IF(AS66&lt;'DADOS DOS EMPREENDIMENTOS'!AU$11,0,IF(AS66='DADOS DOS EMPREENDIMENTOS'!AU$11,SUM(AU$41:AU66)*(1-'DADOS DOS EMPREENDIMENTOS'!#REF!-'DADOS DOS EMPREENDIMENTOS'!#REF!)+'DADOS DOS EMPREENDIMENTOS'!#REF!,IF(AS66='DADOS DOS EMPREENDIMENTOS'!#REF!,'DADOS DOS EMPREENDIMENTOS'!#REF!,AU66*(1-'DADOS DOS EMPREENDIMENTOS'!#REF!-'DADOS DOS EMPREENDIMENTOS'!#REF!))))</f>
        <v>#REF!</v>
      </c>
      <c r="AX66" s="46">
        <v>25</v>
      </c>
      <c r="AY66" s="26">
        <v>40695</v>
      </c>
      <c r="AZ66" s="8">
        <v>0</v>
      </c>
      <c r="BA66" s="61" t="e">
        <f>IF(AX66&lt;'DADOS DOS EMPREENDIMENTOS'!AZ$11,0,IF(AX66='DADOS DOS EMPREENDIMENTOS'!AZ$11,SUM(AZ$41:AZ66)*(1-'DADOS DOS EMPREENDIMENTOS'!#REF!-'DADOS DOS EMPREENDIMENTOS'!#REF!)+'DADOS DOS EMPREENDIMENTOS'!#REF!,IF(AX66='DADOS DOS EMPREENDIMENTOS'!#REF!,'DADOS DOS EMPREENDIMENTOS'!#REF!,AZ66*(1-'DADOS DOS EMPREENDIMENTOS'!#REF!-'DADOS DOS EMPREENDIMENTOS'!#REF!))))</f>
        <v>#REF!</v>
      </c>
      <c r="BC66" s="46">
        <v>25</v>
      </c>
      <c r="BD66" s="26">
        <v>40695</v>
      </c>
      <c r="BE66" s="8">
        <v>0</v>
      </c>
      <c r="BF66" s="61" t="e">
        <f>IF(BC66&lt;'DADOS DOS EMPREENDIMENTOS'!BE$11,0,IF(BC66='DADOS DOS EMPREENDIMENTOS'!BE$11,SUM(BE$41:BE66)*(1-'DADOS DOS EMPREENDIMENTOS'!#REF!-'DADOS DOS EMPREENDIMENTOS'!#REF!)+'DADOS DOS EMPREENDIMENTOS'!#REF!,IF(BC66='DADOS DOS EMPREENDIMENTOS'!#REF!,'DADOS DOS EMPREENDIMENTOS'!#REF!,BE66*(1-'DADOS DOS EMPREENDIMENTOS'!#REF!-'DADOS DOS EMPREENDIMENTOS'!#REF!))))</f>
        <v>#REF!</v>
      </c>
      <c r="BH66" s="46">
        <v>25</v>
      </c>
      <c r="BI66" s="26">
        <v>40695</v>
      </c>
      <c r="BJ66" s="8">
        <v>0</v>
      </c>
      <c r="BK66" s="61" t="e">
        <f>IF(BH66&lt;'DADOS DOS EMPREENDIMENTOS'!BJ$11,0,IF(BH66='DADOS DOS EMPREENDIMENTOS'!BJ$11,SUM(BJ$41:BJ66)*(1-'DADOS DOS EMPREENDIMENTOS'!#REF!-'DADOS DOS EMPREENDIMENTOS'!#REF!)+'DADOS DOS EMPREENDIMENTOS'!#REF!,IF(BH66='DADOS DOS EMPREENDIMENTOS'!#REF!,'DADOS DOS EMPREENDIMENTOS'!#REF!,BJ66*(1-'DADOS DOS EMPREENDIMENTOS'!#REF!-'DADOS DOS EMPREENDIMENTOS'!#REF!))))</f>
        <v>#REF!</v>
      </c>
      <c r="BM66" s="46">
        <v>25</v>
      </c>
      <c r="BN66" s="26">
        <v>40695</v>
      </c>
      <c r="BO66" s="8">
        <v>0</v>
      </c>
      <c r="BP66" s="61" t="e">
        <f>IF(BM66&lt;'DADOS DOS EMPREENDIMENTOS'!BO$11,0,IF(BM66='DADOS DOS EMPREENDIMENTOS'!BO$11,SUM(BO$41:BO66)*(1-'DADOS DOS EMPREENDIMENTOS'!#REF!-'DADOS DOS EMPREENDIMENTOS'!#REF!)+'DADOS DOS EMPREENDIMENTOS'!#REF!,IF(BM66='DADOS DOS EMPREENDIMENTOS'!BO$12,'DADOS DOS EMPREENDIMENTOS'!#REF!,BO66*(1-'DADOS DOS EMPREENDIMENTOS'!#REF!-'DADOS DOS EMPREENDIMENTOS'!#REF!))))</f>
        <v>#REF!</v>
      </c>
      <c r="BR66" s="46">
        <v>25</v>
      </c>
      <c r="BS66" s="26">
        <v>40695</v>
      </c>
      <c r="BT66" s="8">
        <v>0</v>
      </c>
      <c r="BU66" s="61" t="e">
        <f>IF(BR66&lt;'DADOS DOS EMPREENDIMENTOS'!BT$11,0,IF(BR66='DADOS DOS EMPREENDIMENTOS'!BT$11,SUM(BT$41:BT66)*(1-'DADOS DOS EMPREENDIMENTOS'!#REF!-'DADOS DOS EMPREENDIMENTOS'!#REF!)+'DADOS DOS EMPREENDIMENTOS'!#REF!,IF(BR66='DADOS DOS EMPREENDIMENTOS'!BT$12,'DADOS DOS EMPREENDIMENTOS'!#REF!,BT66*(1-'DADOS DOS EMPREENDIMENTOS'!#REF!-'DADOS DOS EMPREENDIMENTOS'!#REF!))))</f>
        <v>#REF!</v>
      </c>
      <c r="BW66" s="46">
        <v>25</v>
      </c>
      <c r="BX66" s="26">
        <v>40695</v>
      </c>
      <c r="BY66" s="8">
        <v>0</v>
      </c>
      <c r="BZ66" s="61" t="e">
        <f>IF(BW66&lt;'DADOS DOS EMPREENDIMENTOS'!BY$11,0,IF(BW66='DADOS DOS EMPREENDIMENTOS'!BY$11,SUM(BY$41:BY66)*(1-'DADOS DOS EMPREENDIMENTOS'!#REF!-'DADOS DOS EMPREENDIMENTOS'!#REF!)+'DADOS DOS EMPREENDIMENTOS'!#REF!,IF(BW66='DADOS DOS EMPREENDIMENTOS'!BY$12,'DADOS DOS EMPREENDIMENTOS'!#REF!,BY66*(1-'DADOS DOS EMPREENDIMENTOS'!#REF!-'DADOS DOS EMPREENDIMENTOS'!#REF!))))</f>
        <v>#REF!</v>
      </c>
      <c r="CB66" s="46">
        <v>25</v>
      </c>
      <c r="CC66" s="26">
        <v>40695</v>
      </c>
      <c r="CD66" s="8">
        <v>0</v>
      </c>
      <c r="CE66" s="61" t="e">
        <f>IF(CB66&lt;'DADOS DOS EMPREENDIMENTOS'!CD$11,0,IF(CB66='DADOS DOS EMPREENDIMENTOS'!CD$11,SUM(CD$41:CD66)*(1-'DADOS DOS EMPREENDIMENTOS'!#REF!-'DADOS DOS EMPREENDIMENTOS'!#REF!)+'DADOS DOS EMPREENDIMENTOS'!#REF!,IF(CB66='DADOS DOS EMPREENDIMENTOS'!CD$12,'DADOS DOS EMPREENDIMENTOS'!#REF!,CD66*(1-'DADOS DOS EMPREENDIMENTOS'!#REF!-'DADOS DOS EMPREENDIMENTOS'!#REF!))))</f>
        <v>#REF!</v>
      </c>
      <c r="CG66" s="46"/>
      <c r="CH66" s="26"/>
      <c r="CI66" s="8"/>
      <c r="CJ66" s="61"/>
    </row>
    <row r="67" spans="15:88" ht="12.75" customHeight="1" thickBot="1" x14ac:dyDescent="0.25">
      <c r="O67" s="39">
        <v>52</v>
      </c>
      <c r="P67" s="353" t="s">
        <v>306</v>
      </c>
      <c r="Q67" s="356">
        <f>VLOOKUP(P67,Apoio!C:E,2,0)</f>
        <v>245020</v>
      </c>
      <c r="R67" s="355">
        <v>226000</v>
      </c>
      <c r="S67" s="216">
        <v>5</v>
      </c>
      <c r="T67" s="46">
        <v>26</v>
      </c>
      <c r="U67" s="26"/>
      <c r="V67" s="8"/>
      <c r="W67" s="61"/>
      <c r="Y67" s="46">
        <v>26</v>
      </c>
      <c r="Z67" s="26"/>
      <c r="AA67" s="8"/>
      <c r="AB67" s="61"/>
      <c r="AD67" s="46">
        <v>26</v>
      </c>
      <c r="AE67" s="26">
        <v>40725</v>
      </c>
      <c r="AF67" s="8">
        <v>0</v>
      </c>
      <c r="AG67" s="61" t="e">
        <f>IF(AD67&lt;'DADOS DOS EMPREENDIMENTOS'!AF$11,0,IF(AD67='DADOS DOS EMPREENDIMENTOS'!AF$11,SUM(AF$41:AF67)*(1-'DADOS DOS EMPREENDIMENTOS'!#REF!-'DADOS DOS EMPREENDIMENTOS'!#REF!)+'DADOS DOS EMPREENDIMENTOS'!#REF!,IF(AD67='DADOS DOS EMPREENDIMENTOS'!#REF!,'DADOS DOS EMPREENDIMENTOS'!#REF!,AF67*(1-'DADOS DOS EMPREENDIMENTOS'!#REF!-'DADOS DOS EMPREENDIMENTOS'!#REF!))))</f>
        <v>#REF!</v>
      </c>
      <c r="AI67" s="46">
        <v>26</v>
      </c>
      <c r="AJ67" s="26">
        <v>40725</v>
      </c>
      <c r="AK67" s="8">
        <v>0</v>
      </c>
      <c r="AL67" s="61" t="e">
        <f>IF(AI67&lt;'DADOS DOS EMPREENDIMENTOS'!AK$11,0,IF(AI67='DADOS DOS EMPREENDIMENTOS'!AK$11,SUM(AK$41:AK67)*(1-'DADOS DOS EMPREENDIMENTOS'!#REF!-'DADOS DOS EMPREENDIMENTOS'!#REF!)+'DADOS DOS EMPREENDIMENTOS'!#REF!,IF(AI67='DADOS DOS EMPREENDIMENTOS'!#REF!,'DADOS DOS EMPREENDIMENTOS'!#REF!,AK67*(1-'DADOS DOS EMPREENDIMENTOS'!#REF!-'DADOS DOS EMPREENDIMENTOS'!#REF!))))</f>
        <v>#REF!</v>
      </c>
      <c r="AN67" s="46">
        <v>26</v>
      </c>
      <c r="AO67" s="26">
        <v>40725</v>
      </c>
      <c r="AP67" s="8">
        <v>0</v>
      </c>
      <c r="AQ67" s="61" t="e">
        <f>IF(AN67&lt;'DADOS DOS EMPREENDIMENTOS'!AP$11,0,IF(AN67='DADOS DOS EMPREENDIMENTOS'!AP$11,SUM(AP$41:AP67)*(1-'DADOS DOS EMPREENDIMENTOS'!#REF!-'DADOS DOS EMPREENDIMENTOS'!#REF!)+'DADOS DOS EMPREENDIMENTOS'!#REF!,IF(AN67='DADOS DOS EMPREENDIMENTOS'!#REF!,'DADOS DOS EMPREENDIMENTOS'!#REF!,AP67*(1-'DADOS DOS EMPREENDIMENTOS'!#REF!-'DADOS DOS EMPREENDIMENTOS'!#REF!))))</f>
        <v>#REF!</v>
      </c>
      <c r="AS67" s="46">
        <v>26</v>
      </c>
      <c r="AT67" s="26">
        <v>40725</v>
      </c>
      <c r="AU67" s="8">
        <v>0</v>
      </c>
      <c r="AV67" s="61" t="e">
        <f>IF(AS67&lt;'DADOS DOS EMPREENDIMENTOS'!AU$11,0,IF(AS67='DADOS DOS EMPREENDIMENTOS'!AU$11,SUM(AU$41:AU67)*(1-'DADOS DOS EMPREENDIMENTOS'!#REF!-'DADOS DOS EMPREENDIMENTOS'!#REF!)+'DADOS DOS EMPREENDIMENTOS'!#REF!,IF(AS67='DADOS DOS EMPREENDIMENTOS'!#REF!,'DADOS DOS EMPREENDIMENTOS'!#REF!,AU67*(1-'DADOS DOS EMPREENDIMENTOS'!#REF!-'DADOS DOS EMPREENDIMENTOS'!#REF!))))</f>
        <v>#REF!</v>
      </c>
      <c r="AX67" s="46">
        <v>26</v>
      </c>
      <c r="AY67" s="26">
        <v>40725</v>
      </c>
      <c r="AZ67" s="8">
        <v>0</v>
      </c>
      <c r="BA67" s="61" t="e">
        <f>IF(AX67&lt;'DADOS DOS EMPREENDIMENTOS'!AZ$11,0,IF(AX67='DADOS DOS EMPREENDIMENTOS'!AZ$11,SUM(AZ$41:AZ67)*(1-'DADOS DOS EMPREENDIMENTOS'!#REF!-'DADOS DOS EMPREENDIMENTOS'!#REF!)+'DADOS DOS EMPREENDIMENTOS'!#REF!,IF(AX67='DADOS DOS EMPREENDIMENTOS'!#REF!,'DADOS DOS EMPREENDIMENTOS'!#REF!,AZ67*(1-'DADOS DOS EMPREENDIMENTOS'!#REF!-'DADOS DOS EMPREENDIMENTOS'!#REF!))))</f>
        <v>#REF!</v>
      </c>
      <c r="BC67" s="46">
        <v>26</v>
      </c>
      <c r="BD67" s="26">
        <v>40725</v>
      </c>
      <c r="BE67" s="8">
        <v>0</v>
      </c>
      <c r="BF67" s="61" t="e">
        <f>IF(BC67&lt;'DADOS DOS EMPREENDIMENTOS'!BE$11,0,IF(BC67='DADOS DOS EMPREENDIMENTOS'!BE$11,SUM(BE$41:BE67)*(1-'DADOS DOS EMPREENDIMENTOS'!#REF!-'DADOS DOS EMPREENDIMENTOS'!#REF!)+'DADOS DOS EMPREENDIMENTOS'!#REF!,IF(BC67='DADOS DOS EMPREENDIMENTOS'!#REF!,'DADOS DOS EMPREENDIMENTOS'!#REF!,BE67*(1-'DADOS DOS EMPREENDIMENTOS'!#REF!-'DADOS DOS EMPREENDIMENTOS'!#REF!))))</f>
        <v>#REF!</v>
      </c>
      <c r="BH67" s="46">
        <v>26</v>
      </c>
      <c r="BI67" s="26">
        <v>40725</v>
      </c>
      <c r="BJ67" s="8">
        <v>0</v>
      </c>
      <c r="BK67" s="61" t="e">
        <f>IF(BH67&lt;'DADOS DOS EMPREENDIMENTOS'!BJ$11,0,IF(BH67='DADOS DOS EMPREENDIMENTOS'!BJ$11,SUM(BJ$41:BJ67)*(1-'DADOS DOS EMPREENDIMENTOS'!#REF!-'DADOS DOS EMPREENDIMENTOS'!#REF!)+'DADOS DOS EMPREENDIMENTOS'!#REF!,IF(BH67='DADOS DOS EMPREENDIMENTOS'!#REF!,'DADOS DOS EMPREENDIMENTOS'!#REF!,BJ67*(1-'DADOS DOS EMPREENDIMENTOS'!#REF!-'DADOS DOS EMPREENDIMENTOS'!#REF!))))</f>
        <v>#REF!</v>
      </c>
      <c r="BM67" s="46">
        <v>26</v>
      </c>
      <c r="BN67" s="26">
        <v>40725</v>
      </c>
      <c r="BO67" s="8">
        <v>0</v>
      </c>
      <c r="BP67" s="61" t="e">
        <f>IF(BM67&lt;'DADOS DOS EMPREENDIMENTOS'!BO$11,0,IF(BM67='DADOS DOS EMPREENDIMENTOS'!BO$11,SUM(BO$41:BO67)*(1-'DADOS DOS EMPREENDIMENTOS'!#REF!-'DADOS DOS EMPREENDIMENTOS'!#REF!)+'DADOS DOS EMPREENDIMENTOS'!#REF!,IF(BM67='DADOS DOS EMPREENDIMENTOS'!BO$12,'DADOS DOS EMPREENDIMENTOS'!#REF!,BO67*(1-'DADOS DOS EMPREENDIMENTOS'!#REF!-'DADOS DOS EMPREENDIMENTOS'!#REF!))))</f>
        <v>#REF!</v>
      </c>
      <c r="BR67" s="46">
        <v>26</v>
      </c>
      <c r="BS67" s="26">
        <v>40725</v>
      </c>
      <c r="BT67" s="8">
        <v>0</v>
      </c>
      <c r="BU67" s="61" t="e">
        <f>IF(BR67&lt;'DADOS DOS EMPREENDIMENTOS'!BT$11,0,IF(BR67='DADOS DOS EMPREENDIMENTOS'!BT$11,SUM(BT$41:BT67)*(1-'DADOS DOS EMPREENDIMENTOS'!#REF!-'DADOS DOS EMPREENDIMENTOS'!#REF!)+'DADOS DOS EMPREENDIMENTOS'!#REF!,IF(BR67='DADOS DOS EMPREENDIMENTOS'!BT$12,'DADOS DOS EMPREENDIMENTOS'!#REF!,BT67*(1-'DADOS DOS EMPREENDIMENTOS'!#REF!-'DADOS DOS EMPREENDIMENTOS'!#REF!))))</f>
        <v>#REF!</v>
      </c>
      <c r="BW67" s="46">
        <v>26</v>
      </c>
      <c r="BX67" s="26">
        <v>40725</v>
      </c>
      <c r="BY67" s="8">
        <v>0</v>
      </c>
      <c r="BZ67" s="61" t="e">
        <f>IF(BW67&lt;'DADOS DOS EMPREENDIMENTOS'!BY$11,0,IF(BW67='DADOS DOS EMPREENDIMENTOS'!BY$11,SUM(BY$41:BY67)*(1-'DADOS DOS EMPREENDIMENTOS'!#REF!-'DADOS DOS EMPREENDIMENTOS'!#REF!)+'DADOS DOS EMPREENDIMENTOS'!#REF!,IF(BW67='DADOS DOS EMPREENDIMENTOS'!BY$12,'DADOS DOS EMPREENDIMENTOS'!#REF!,BY67*(1-'DADOS DOS EMPREENDIMENTOS'!#REF!-'DADOS DOS EMPREENDIMENTOS'!#REF!))))</f>
        <v>#REF!</v>
      </c>
      <c r="CB67" s="46">
        <v>26</v>
      </c>
      <c r="CC67" s="26">
        <v>40725</v>
      </c>
      <c r="CD67" s="8">
        <v>0</v>
      </c>
      <c r="CE67" s="61" t="e">
        <f>IF(CB67&lt;'DADOS DOS EMPREENDIMENTOS'!CD$11,0,IF(CB67='DADOS DOS EMPREENDIMENTOS'!CD$11,SUM(CD$41:CD67)*(1-'DADOS DOS EMPREENDIMENTOS'!#REF!-'DADOS DOS EMPREENDIMENTOS'!#REF!)+'DADOS DOS EMPREENDIMENTOS'!#REF!,IF(CB67='DADOS DOS EMPREENDIMENTOS'!CD$12,'DADOS DOS EMPREENDIMENTOS'!#REF!,CD67*(1-'DADOS DOS EMPREENDIMENTOS'!#REF!-'DADOS DOS EMPREENDIMENTOS'!#REF!))))</f>
        <v>#REF!</v>
      </c>
      <c r="CG67" s="46"/>
      <c r="CH67" s="26"/>
      <c r="CI67" s="8"/>
      <c r="CJ67" s="61"/>
    </row>
    <row r="68" spans="15:88" ht="12.75" customHeight="1" thickBot="1" x14ac:dyDescent="0.25">
      <c r="O68" s="37">
        <v>53</v>
      </c>
      <c r="P68" s="353" t="s">
        <v>307</v>
      </c>
      <c r="Q68" s="356">
        <f>VLOOKUP(P68,Apoio!C:E,2,0)</f>
        <v>245020</v>
      </c>
      <c r="R68" s="355">
        <v>223000</v>
      </c>
      <c r="S68" s="216">
        <v>5</v>
      </c>
      <c r="T68" s="46">
        <v>27</v>
      </c>
      <c r="U68" s="26"/>
      <c r="V68" s="8"/>
      <c r="W68" s="61"/>
      <c r="Y68" s="46">
        <v>27</v>
      </c>
      <c r="Z68" s="26"/>
      <c r="AA68" s="8"/>
      <c r="AB68" s="61"/>
      <c r="AD68" s="46">
        <v>27</v>
      </c>
      <c r="AE68" s="26">
        <v>40756</v>
      </c>
      <c r="AF68" s="8">
        <v>0</v>
      </c>
      <c r="AG68" s="61" t="e">
        <f>IF(AD68&lt;'DADOS DOS EMPREENDIMENTOS'!AF$11,0,IF(AD68='DADOS DOS EMPREENDIMENTOS'!AF$11,SUM(AF$41:AF68)*(1-'DADOS DOS EMPREENDIMENTOS'!#REF!-'DADOS DOS EMPREENDIMENTOS'!#REF!)+'DADOS DOS EMPREENDIMENTOS'!#REF!,IF(AD68='DADOS DOS EMPREENDIMENTOS'!#REF!,'DADOS DOS EMPREENDIMENTOS'!#REF!,AF68*(1-'DADOS DOS EMPREENDIMENTOS'!#REF!-'DADOS DOS EMPREENDIMENTOS'!#REF!))))</f>
        <v>#REF!</v>
      </c>
      <c r="AI68" s="46">
        <v>27</v>
      </c>
      <c r="AJ68" s="26">
        <v>40756</v>
      </c>
      <c r="AK68" s="8">
        <v>0</v>
      </c>
      <c r="AL68" s="61" t="e">
        <f>IF(AI68&lt;'DADOS DOS EMPREENDIMENTOS'!AK$11,0,IF(AI68='DADOS DOS EMPREENDIMENTOS'!AK$11,SUM(AK$41:AK68)*(1-'DADOS DOS EMPREENDIMENTOS'!#REF!-'DADOS DOS EMPREENDIMENTOS'!#REF!)+'DADOS DOS EMPREENDIMENTOS'!#REF!,IF(AI68='DADOS DOS EMPREENDIMENTOS'!#REF!,'DADOS DOS EMPREENDIMENTOS'!#REF!,AK68*(1-'DADOS DOS EMPREENDIMENTOS'!#REF!-'DADOS DOS EMPREENDIMENTOS'!#REF!))))</f>
        <v>#REF!</v>
      </c>
      <c r="AN68" s="46">
        <v>27</v>
      </c>
      <c r="AO68" s="26">
        <v>40756</v>
      </c>
      <c r="AP68" s="8">
        <v>0</v>
      </c>
      <c r="AQ68" s="61" t="e">
        <f>IF(AN68&lt;'DADOS DOS EMPREENDIMENTOS'!AP$11,0,IF(AN68='DADOS DOS EMPREENDIMENTOS'!AP$11,SUM(AP$41:AP68)*(1-'DADOS DOS EMPREENDIMENTOS'!#REF!-'DADOS DOS EMPREENDIMENTOS'!#REF!)+'DADOS DOS EMPREENDIMENTOS'!#REF!,IF(AN68='DADOS DOS EMPREENDIMENTOS'!#REF!,'DADOS DOS EMPREENDIMENTOS'!#REF!,AP68*(1-'DADOS DOS EMPREENDIMENTOS'!#REF!-'DADOS DOS EMPREENDIMENTOS'!#REF!))))</f>
        <v>#REF!</v>
      </c>
      <c r="AS68" s="46">
        <v>27</v>
      </c>
      <c r="AT68" s="26">
        <v>40756</v>
      </c>
      <c r="AU68" s="8">
        <v>0</v>
      </c>
      <c r="AV68" s="61" t="e">
        <f>IF(AS68&lt;'DADOS DOS EMPREENDIMENTOS'!AU$11,0,IF(AS68='DADOS DOS EMPREENDIMENTOS'!AU$11,SUM(AU$41:AU68)*(1-'DADOS DOS EMPREENDIMENTOS'!#REF!-'DADOS DOS EMPREENDIMENTOS'!#REF!)+'DADOS DOS EMPREENDIMENTOS'!#REF!,IF(AS68='DADOS DOS EMPREENDIMENTOS'!#REF!,'DADOS DOS EMPREENDIMENTOS'!#REF!,AU68*(1-'DADOS DOS EMPREENDIMENTOS'!#REF!-'DADOS DOS EMPREENDIMENTOS'!#REF!))))</f>
        <v>#REF!</v>
      </c>
      <c r="AX68" s="46">
        <v>27</v>
      </c>
      <c r="AY68" s="26">
        <v>40756</v>
      </c>
      <c r="AZ68" s="8">
        <v>0</v>
      </c>
      <c r="BA68" s="61" t="e">
        <f>IF(AX68&lt;'DADOS DOS EMPREENDIMENTOS'!AZ$11,0,IF(AX68='DADOS DOS EMPREENDIMENTOS'!AZ$11,SUM(AZ$41:AZ68)*(1-'DADOS DOS EMPREENDIMENTOS'!#REF!-'DADOS DOS EMPREENDIMENTOS'!#REF!)+'DADOS DOS EMPREENDIMENTOS'!#REF!,IF(AX68='DADOS DOS EMPREENDIMENTOS'!#REF!,'DADOS DOS EMPREENDIMENTOS'!#REF!,AZ68*(1-'DADOS DOS EMPREENDIMENTOS'!#REF!-'DADOS DOS EMPREENDIMENTOS'!#REF!))))</f>
        <v>#REF!</v>
      </c>
      <c r="BC68" s="46">
        <v>27</v>
      </c>
      <c r="BD68" s="26">
        <v>40756</v>
      </c>
      <c r="BE68" s="8">
        <v>0</v>
      </c>
      <c r="BF68" s="61" t="e">
        <f>IF(BC68&lt;'DADOS DOS EMPREENDIMENTOS'!BE$11,0,IF(BC68='DADOS DOS EMPREENDIMENTOS'!BE$11,SUM(BE$41:BE68)*(1-'DADOS DOS EMPREENDIMENTOS'!#REF!-'DADOS DOS EMPREENDIMENTOS'!#REF!)+'DADOS DOS EMPREENDIMENTOS'!#REF!,IF(BC68='DADOS DOS EMPREENDIMENTOS'!#REF!,'DADOS DOS EMPREENDIMENTOS'!#REF!,BE68*(1-'DADOS DOS EMPREENDIMENTOS'!#REF!-'DADOS DOS EMPREENDIMENTOS'!#REF!))))</f>
        <v>#REF!</v>
      </c>
      <c r="BH68" s="46">
        <v>27</v>
      </c>
      <c r="BI68" s="26">
        <v>40756</v>
      </c>
      <c r="BJ68" s="8">
        <v>0</v>
      </c>
      <c r="BK68" s="61" t="e">
        <f>IF(BH68&lt;'DADOS DOS EMPREENDIMENTOS'!BJ$11,0,IF(BH68='DADOS DOS EMPREENDIMENTOS'!BJ$11,SUM(BJ$41:BJ68)*(1-'DADOS DOS EMPREENDIMENTOS'!#REF!-'DADOS DOS EMPREENDIMENTOS'!#REF!)+'DADOS DOS EMPREENDIMENTOS'!#REF!,IF(BH68='DADOS DOS EMPREENDIMENTOS'!#REF!,'DADOS DOS EMPREENDIMENTOS'!#REF!,BJ68*(1-'DADOS DOS EMPREENDIMENTOS'!#REF!-'DADOS DOS EMPREENDIMENTOS'!#REF!))))</f>
        <v>#REF!</v>
      </c>
      <c r="BM68" s="46">
        <v>27</v>
      </c>
      <c r="BN68" s="26">
        <v>40756</v>
      </c>
      <c r="BO68" s="8">
        <v>0</v>
      </c>
      <c r="BP68" s="61" t="e">
        <f>IF(BM68&lt;'DADOS DOS EMPREENDIMENTOS'!BO$11,0,IF(BM68='DADOS DOS EMPREENDIMENTOS'!BO$11,SUM(BO$41:BO68)*(1-'DADOS DOS EMPREENDIMENTOS'!#REF!-'DADOS DOS EMPREENDIMENTOS'!#REF!)+'DADOS DOS EMPREENDIMENTOS'!#REF!,IF(BM68='DADOS DOS EMPREENDIMENTOS'!BO$12,'DADOS DOS EMPREENDIMENTOS'!#REF!,BO68*(1-'DADOS DOS EMPREENDIMENTOS'!#REF!-'DADOS DOS EMPREENDIMENTOS'!#REF!))))</f>
        <v>#REF!</v>
      </c>
      <c r="BR68" s="46">
        <v>27</v>
      </c>
      <c r="BS68" s="26">
        <v>40756</v>
      </c>
      <c r="BT68" s="8">
        <v>0</v>
      </c>
      <c r="BU68" s="61" t="e">
        <f>IF(BR68&lt;'DADOS DOS EMPREENDIMENTOS'!BT$11,0,IF(BR68='DADOS DOS EMPREENDIMENTOS'!BT$11,SUM(BT$41:BT68)*(1-'DADOS DOS EMPREENDIMENTOS'!#REF!-'DADOS DOS EMPREENDIMENTOS'!#REF!)+'DADOS DOS EMPREENDIMENTOS'!#REF!,IF(BR68='DADOS DOS EMPREENDIMENTOS'!BT$12,'DADOS DOS EMPREENDIMENTOS'!#REF!,BT68*(1-'DADOS DOS EMPREENDIMENTOS'!#REF!-'DADOS DOS EMPREENDIMENTOS'!#REF!))))</f>
        <v>#REF!</v>
      </c>
      <c r="BW68" s="46">
        <v>27</v>
      </c>
      <c r="BX68" s="26">
        <v>40756</v>
      </c>
      <c r="BY68" s="8">
        <v>0</v>
      </c>
      <c r="BZ68" s="61" t="e">
        <f>IF(BW68&lt;'DADOS DOS EMPREENDIMENTOS'!BY$11,0,IF(BW68='DADOS DOS EMPREENDIMENTOS'!BY$11,SUM(BY$41:BY68)*(1-'DADOS DOS EMPREENDIMENTOS'!#REF!-'DADOS DOS EMPREENDIMENTOS'!#REF!)+'DADOS DOS EMPREENDIMENTOS'!#REF!,IF(BW68='DADOS DOS EMPREENDIMENTOS'!BY$12,'DADOS DOS EMPREENDIMENTOS'!#REF!,BY68*(1-'DADOS DOS EMPREENDIMENTOS'!#REF!-'DADOS DOS EMPREENDIMENTOS'!#REF!))))</f>
        <v>#REF!</v>
      </c>
      <c r="CB68" s="46">
        <v>27</v>
      </c>
      <c r="CC68" s="26">
        <v>40756</v>
      </c>
      <c r="CD68" s="8">
        <v>0</v>
      </c>
      <c r="CE68" s="61" t="e">
        <f>IF(CB68&lt;'DADOS DOS EMPREENDIMENTOS'!CD$11,0,IF(CB68='DADOS DOS EMPREENDIMENTOS'!CD$11,SUM(CD$41:CD68)*(1-'DADOS DOS EMPREENDIMENTOS'!#REF!-'DADOS DOS EMPREENDIMENTOS'!#REF!)+'DADOS DOS EMPREENDIMENTOS'!#REF!,IF(CB68='DADOS DOS EMPREENDIMENTOS'!CD$12,'DADOS DOS EMPREENDIMENTOS'!#REF!,CD68*(1-'DADOS DOS EMPREENDIMENTOS'!#REF!-'DADOS DOS EMPREENDIMENTOS'!#REF!))))</f>
        <v>#REF!</v>
      </c>
      <c r="CG68" s="46"/>
      <c r="CH68" s="26"/>
      <c r="CI68" s="8"/>
      <c r="CJ68" s="61"/>
    </row>
    <row r="69" spans="15:88" ht="12.75" customHeight="1" thickBot="1" x14ac:dyDescent="0.25">
      <c r="O69" s="39">
        <v>54</v>
      </c>
      <c r="P69" s="353" t="s">
        <v>308</v>
      </c>
      <c r="Q69" s="356">
        <f>VLOOKUP(P69,Apoio!C:E,2,0)</f>
        <v>245020</v>
      </c>
      <c r="R69" s="355">
        <v>223000</v>
      </c>
      <c r="S69" s="216">
        <v>5</v>
      </c>
      <c r="T69" s="46">
        <v>28</v>
      </c>
      <c r="U69" s="26"/>
      <c r="V69" s="8"/>
      <c r="W69" s="61"/>
      <c r="Y69" s="46">
        <v>28</v>
      </c>
      <c r="Z69" s="26"/>
      <c r="AA69" s="8"/>
      <c r="AB69" s="61"/>
      <c r="AD69" s="46">
        <v>28</v>
      </c>
      <c r="AE69" s="26">
        <v>40787</v>
      </c>
      <c r="AF69" s="8">
        <v>0</v>
      </c>
      <c r="AG69" s="61" t="e">
        <f>IF(AD69&lt;'DADOS DOS EMPREENDIMENTOS'!AF$11,0,IF(AD69='DADOS DOS EMPREENDIMENTOS'!AF$11,SUM(AF$41:AF69)*(1-'DADOS DOS EMPREENDIMENTOS'!#REF!-'DADOS DOS EMPREENDIMENTOS'!#REF!)+'DADOS DOS EMPREENDIMENTOS'!#REF!,IF(AD69='DADOS DOS EMPREENDIMENTOS'!#REF!,'DADOS DOS EMPREENDIMENTOS'!#REF!,AF69*(1-'DADOS DOS EMPREENDIMENTOS'!#REF!-'DADOS DOS EMPREENDIMENTOS'!#REF!))))</f>
        <v>#REF!</v>
      </c>
      <c r="AI69" s="46">
        <v>28</v>
      </c>
      <c r="AJ69" s="26">
        <v>40787</v>
      </c>
      <c r="AK69" s="8">
        <v>0</v>
      </c>
      <c r="AL69" s="61" t="e">
        <f>IF(AI69&lt;'DADOS DOS EMPREENDIMENTOS'!AK$11,0,IF(AI69='DADOS DOS EMPREENDIMENTOS'!AK$11,SUM(AK$41:AK69)*(1-'DADOS DOS EMPREENDIMENTOS'!#REF!-'DADOS DOS EMPREENDIMENTOS'!#REF!)+'DADOS DOS EMPREENDIMENTOS'!#REF!,IF(AI69='DADOS DOS EMPREENDIMENTOS'!#REF!,'DADOS DOS EMPREENDIMENTOS'!#REF!,AK69*(1-'DADOS DOS EMPREENDIMENTOS'!#REF!-'DADOS DOS EMPREENDIMENTOS'!#REF!))))</f>
        <v>#REF!</v>
      </c>
      <c r="AN69" s="46">
        <v>28</v>
      </c>
      <c r="AO69" s="26">
        <v>40787</v>
      </c>
      <c r="AP69" s="8">
        <v>0</v>
      </c>
      <c r="AQ69" s="61" t="e">
        <f>IF(AN69&lt;'DADOS DOS EMPREENDIMENTOS'!AP$11,0,IF(AN69='DADOS DOS EMPREENDIMENTOS'!AP$11,SUM(AP$41:AP69)*(1-'DADOS DOS EMPREENDIMENTOS'!#REF!-'DADOS DOS EMPREENDIMENTOS'!#REF!)+'DADOS DOS EMPREENDIMENTOS'!#REF!,IF(AN69='DADOS DOS EMPREENDIMENTOS'!#REF!,'DADOS DOS EMPREENDIMENTOS'!#REF!,AP69*(1-'DADOS DOS EMPREENDIMENTOS'!#REF!-'DADOS DOS EMPREENDIMENTOS'!#REF!))))</f>
        <v>#REF!</v>
      </c>
      <c r="AS69" s="46">
        <v>28</v>
      </c>
      <c r="AT69" s="26">
        <v>40787</v>
      </c>
      <c r="AU69" s="8">
        <v>0</v>
      </c>
      <c r="AV69" s="61" t="e">
        <f>IF(AS69&lt;'DADOS DOS EMPREENDIMENTOS'!AU$11,0,IF(AS69='DADOS DOS EMPREENDIMENTOS'!AU$11,SUM(AU$41:AU69)*(1-'DADOS DOS EMPREENDIMENTOS'!#REF!-'DADOS DOS EMPREENDIMENTOS'!#REF!)+'DADOS DOS EMPREENDIMENTOS'!#REF!,IF(AS69='DADOS DOS EMPREENDIMENTOS'!#REF!,'DADOS DOS EMPREENDIMENTOS'!#REF!,AU69*(1-'DADOS DOS EMPREENDIMENTOS'!#REF!-'DADOS DOS EMPREENDIMENTOS'!#REF!))))</f>
        <v>#REF!</v>
      </c>
      <c r="AX69" s="46">
        <v>28</v>
      </c>
      <c r="AY69" s="26">
        <v>40787</v>
      </c>
      <c r="AZ69" s="8">
        <v>0</v>
      </c>
      <c r="BA69" s="61" t="e">
        <f>IF(AX69&lt;'DADOS DOS EMPREENDIMENTOS'!AZ$11,0,IF(AX69='DADOS DOS EMPREENDIMENTOS'!AZ$11,SUM(AZ$41:AZ69)*(1-'DADOS DOS EMPREENDIMENTOS'!#REF!-'DADOS DOS EMPREENDIMENTOS'!#REF!)+'DADOS DOS EMPREENDIMENTOS'!#REF!,IF(AX69='DADOS DOS EMPREENDIMENTOS'!#REF!,'DADOS DOS EMPREENDIMENTOS'!#REF!,AZ69*(1-'DADOS DOS EMPREENDIMENTOS'!#REF!-'DADOS DOS EMPREENDIMENTOS'!#REF!))))</f>
        <v>#REF!</v>
      </c>
      <c r="BC69" s="46">
        <v>28</v>
      </c>
      <c r="BD69" s="26">
        <v>40787</v>
      </c>
      <c r="BE69" s="8">
        <v>0</v>
      </c>
      <c r="BF69" s="61" t="e">
        <f>IF(BC69&lt;'DADOS DOS EMPREENDIMENTOS'!BE$11,0,IF(BC69='DADOS DOS EMPREENDIMENTOS'!BE$11,SUM(BE$41:BE69)*(1-'DADOS DOS EMPREENDIMENTOS'!#REF!-'DADOS DOS EMPREENDIMENTOS'!#REF!)+'DADOS DOS EMPREENDIMENTOS'!#REF!,IF(BC69='DADOS DOS EMPREENDIMENTOS'!#REF!,'DADOS DOS EMPREENDIMENTOS'!#REF!,BE69*(1-'DADOS DOS EMPREENDIMENTOS'!#REF!-'DADOS DOS EMPREENDIMENTOS'!#REF!))))</f>
        <v>#REF!</v>
      </c>
      <c r="BH69" s="46">
        <v>28</v>
      </c>
      <c r="BI69" s="26">
        <v>40787</v>
      </c>
      <c r="BJ69" s="8">
        <v>0</v>
      </c>
      <c r="BK69" s="61" t="e">
        <f>IF(BH69&lt;'DADOS DOS EMPREENDIMENTOS'!BJ$11,0,IF(BH69='DADOS DOS EMPREENDIMENTOS'!BJ$11,SUM(BJ$41:BJ69)*(1-'DADOS DOS EMPREENDIMENTOS'!#REF!-'DADOS DOS EMPREENDIMENTOS'!#REF!)+'DADOS DOS EMPREENDIMENTOS'!#REF!,IF(BH69='DADOS DOS EMPREENDIMENTOS'!#REF!,'DADOS DOS EMPREENDIMENTOS'!#REF!,BJ69*(1-'DADOS DOS EMPREENDIMENTOS'!#REF!-'DADOS DOS EMPREENDIMENTOS'!#REF!))))</f>
        <v>#REF!</v>
      </c>
      <c r="BM69" s="46">
        <v>28</v>
      </c>
      <c r="BN69" s="26">
        <v>40787</v>
      </c>
      <c r="BO69" s="8">
        <v>0</v>
      </c>
      <c r="BP69" s="61" t="e">
        <f>IF(BM69&lt;'DADOS DOS EMPREENDIMENTOS'!BO$11,0,IF(BM69='DADOS DOS EMPREENDIMENTOS'!BO$11,SUM(BO$41:BO69)*(1-'DADOS DOS EMPREENDIMENTOS'!#REF!-'DADOS DOS EMPREENDIMENTOS'!#REF!)+'DADOS DOS EMPREENDIMENTOS'!#REF!,IF(BM69='DADOS DOS EMPREENDIMENTOS'!BO$12,'DADOS DOS EMPREENDIMENTOS'!#REF!,BO69*(1-'DADOS DOS EMPREENDIMENTOS'!#REF!-'DADOS DOS EMPREENDIMENTOS'!#REF!))))</f>
        <v>#REF!</v>
      </c>
      <c r="BR69" s="46">
        <v>28</v>
      </c>
      <c r="BS69" s="26">
        <v>40787</v>
      </c>
      <c r="BT69" s="8">
        <v>0</v>
      </c>
      <c r="BU69" s="61" t="e">
        <f>IF(BR69&lt;'DADOS DOS EMPREENDIMENTOS'!BT$11,0,IF(BR69='DADOS DOS EMPREENDIMENTOS'!BT$11,SUM(BT$41:BT69)*(1-'DADOS DOS EMPREENDIMENTOS'!#REF!-'DADOS DOS EMPREENDIMENTOS'!#REF!)+'DADOS DOS EMPREENDIMENTOS'!#REF!,IF(BR69='DADOS DOS EMPREENDIMENTOS'!BT$12,'DADOS DOS EMPREENDIMENTOS'!#REF!,BT69*(1-'DADOS DOS EMPREENDIMENTOS'!#REF!-'DADOS DOS EMPREENDIMENTOS'!#REF!))))</f>
        <v>#REF!</v>
      </c>
      <c r="BW69" s="46">
        <v>28</v>
      </c>
      <c r="BX69" s="26">
        <v>40787</v>
      </c>
      <c r="BY69" s="8">
        <v>0</v>
      </c>
      <c r="BZ69" s="61" t="e">
        <f>IF(BW69&lt;'DADOS DOS EMPREENDIMENTOS'!BY$11,0,IF(BW69='DADOS DOS EMPREENDIMENTOS'!BY$11,SUM(BY$41:BY69)*(1-'DADOS DOS EMPREENDIMENTOS'!#REF!-'DADOS DOS EMPREENDIMENTOS'!#REF!)+'DADOS DOS EMPREENDIMENTOS'!#REF!,IF(BW69='DADOS DOS EMPREENDIMENTOS'!BY$12,'DADOS DOS EMPREENDIMENTOS'!#REF!,BY69*(1-'DADOS DOS EMPREENDIMENTOS'!#REF!-'DADOS DOS EMPREENDIMENTOS'!#REF!))))</f>
        <v>#REF!</v>
      </c>
      <c r="CB69" s="46">
        <v>28</v>
      </c>
      <c r="CC69" s="26">
        <v>40787</v>
      </c>
      <c r="CD69" s="8">
        <v>0</v>
      </c>
      <c r="CE69" s="61" t="e">
        <f>IF(CB69&lt;'DADOS DOS EMPREENDIMENTOS'!CD$11,0,IF(CB69='DADOS DOS EMPREENDIMENTOS'!CD$11,SUM(CD$41:CD69)*(1-'DADOS DOS EMPREENDIMENTOS'!#REF!-'DADOS DOS EMPREENDIMENTOS'!#REF!)+'DADOS DOS EMPREENDIMENTOS'!#REF!,IF(CB69='DADOS DOS EMPREENDIMENTOS'!CD$12,'DADOS DOS EMPREENDIMENTOS'!#REF!,CD69*(1-'DADOS DOS EMPREENDIMENTOS'!#REF!-'DADOS DOS EMPREENDIMENTOS'!#REF!))))</f>
        <v>#REF!</v>
      </c>
      <c r="CG69" s="46"/>
      <c r="CH69" s="26"/>
      <c r="CI69" s="8"/>
      <c r="CJ69" s="61"/>
    </row>
    <row r="70" spans="15:88" ht="12.75" customHeight="1" thickBot="1" x14ac:dyDescent="0.25">
      <c r="O70" s="37">
        <v>55</v>
      </c>
      <c r="P70" s="353" t="s">
        <v>309</v>
      </c>
      <c r="Q70" s="356">
        <f>VLOOKUP(P70,Apoio!C:E,2,0)</f>
        <v>245020</v>
      </c>
      <c r="R70" s="355">
        <v>226000</v>
      </c>
      <c r="S70" s="216">
        <v>5</v>
      </c>
      <c r="T70" s="46">
        <v>29</v>
      </c>
      <c r="U70" s="26"/>
      <c r="V70" s="8"/>
      <c r="W70" s="61"/>
      <c r="Y70" s="46">
        <v>29</v>
      </c>
      <c r="Z70" s="26"/>
      <c r="AA70" s="8"/>
      <c r="AB70" s="61"/>
      <c r="AD70" s="46">
        <v>29</v>
      </c>
      <c r="AE70" s="26">
        <v>40817</v>
      </c>
      <c r="AF70" s="8">
        <v>0</v>
      </c>
      <c r="AG70" s="61" t="e">
        <f>IF(AD70&lt;'DADOS DOS EMPREENDIMENTOS'!AF$11,0,IF(AD70='DADOS DOS EMPREENDIMENTOS'!AF$11,SUM(AF$41:AF70)*(1-'DADOS DOS EMPREENDIMENTOS'!#REF!-'DADOS DOS EMPREENDIMENTOS'!#REF!)+'DADOS DOS EMPREENDIMENTOS'!#REF!,IF(AD70='DADOS DOS EMPREENDIMENTOS'!#REF!,'DADOS DOS EMPREENDIMENTOS'!#REF!,AF70*(1-'DADOS DOS EMPREENDIMENTOS'!#REF!-'DADOS DOS EMPREENDIMENTOS'!#REF!))))</f>
        <v>#REF!</v>
      </c>
      <c r="AI70" s="46">
        <v>29</v>
      </c>
      <c r="AJ70" s="26">
        <v>40817</v>
      </c>
      <c r="AK70" s="8">
        <v>0</v>
      </c>
      <c r="AL70" s="61" t="e">
        <f>IF(AI70&lt;'DADOS DOS EMPREENDIMENTOS'!AK$11,0,IF(AI70='DADOS DOS EMPREENDIMENTOS'!AK$11,SUM(AK$41:AK70)*(1-'DADOS DOS EMPREENDIMENTOS'!#REF!-'DADOS DOS EMPREENDIMENTOS'!#REF!)+'DADOS DOS EMPREENDIMENTOS'!#REF!,IF(AI70='DADOS DOS EMPREENDIMENTOS'!#REF!,'DADOS DOS EMPREENDIMENTOS'!#REF!,AK70*(1-'DADOS DOS EMPREENDIMENTOS'!#REF!-'DADOS DOS EMPREENDIMENTOS'!#REF!))))</f>
        <v>#REF!</v>
      </c>
      <c r="AN70" s="46">
        <v>29</v>
      </c>
      <c r="AO70" s="26">
        <v>40817</v>
      </c>
      <c r="AP70" s="8">
        <v>0</v>
      </c>
      <c r="AQ70" s="61" t="e">
        <f>IF(AN70&lt;'DADOS DOS EMPREENDIMENTOS'!AP$11,0,IF(AN70='DADOS DOS EMPREENDIMENTOS'!AP$11,SUM(AP$41:AP70)*(1-'DADOS DOS EMPREENDIMENTOS'!#REF!-'DADOS DOS EMPREENDIMENTOS'!#REF!)+'DADOS DOS EMPREENDIMENTOS'!#REF!,IF(AN70='DADOS DOS EMPREENDIMENTOS'!#REF!,'DADOS DOS EMPREENDIMENTOS'!#REF!,AP70*(1-'DADOS DOS EMPREENDIMENTOS'!#REF!-'DADOS DOS EMPREENDIMENTOS'!#REF!))))</f>
        <v>#REF!</v>
      </c>
      <c r="AS70" s="46">
        <v>29</v>
      </c>
      <c r="AT70" s="26">
        <v>40817</v>
      </c>
      <c r="AU70" s="8">
        <v>0</v>
      </c>
      <c r="AV70" s="61" t="e">
        <f>IF(AS70&lt;'DADOS DOS EMPREENDIMENTOS'!AU$11,0,IF(AS70='DADOS DOS EMPREENDIMENTOS'!AU$11,SUM(AU$41:AU70)*(1-'DADOS DOS EMPREENDIMENTOS'!#REF!-'DADOS DOS EMPREENDIMENTOS'!#REF!)+'DADOS DOS EMPREENDIMENTOS'!#REF!,IF(AS70='DADOS DOS EMPREENDIMENTOS'!#REF!,'DADOS DOS EMPREENDIMENTOS'!#REF!,AU70*(1-'DADOS DOS EMPREENDIMENTOS'!#REF!-'DADOS DOS EMPREENDIMENTOS'!#REF!))))</f>
        <v>#REF!</v>
      </c>
      <c r="AX70" s="46">
        <v>29</v>
      </c>
      <c r="AY70" s="26">
        <v>40817</v>
      </c>
      <c r="AZ70" s="8">
        <v>0</v>
      </c>
      <c r="BA70" s="61" t="e">
        <f>IF(AX70&lt;'DADOS DOS EMPREENDIMENTOS'!AZ$11,0,IF(AX70='DADOS DOS EMPREENDIMENTOS'!AZ$11,SUM(AZ$41:AZ70)*(1-'DADOS DOS EMPREENDIMENTOS'!#REF!-'DADOS DOS EMPREENDIMENTOS'!#REF!)+'DADOS DOS EMPREENDIMENTOS'!#REF!,IF(AX70='DADOS DOS EMPREENDIMENTOS'!#REF!,'DADOS DOS EMPREENDIMENTOS'!#REF!,AZ70*(1-'DADOS DOS EMPREENDIMENTOS'!#REF!-'DADOS DOS EMPREENDIMENTOS'!#REF!))))</f>
        <v>#REF!</v>
      </c>
      <c r="BC70" s="46">
        <v>29</v>
      </c>
      <c r="BD70" s="26">
        <v>40817</v>
      </c>
      <c r="BE70" s="8">
        <v>0</v>
      </c>
      <c r="BF70" s="61" t="e">
        <f>IF(BC70&lt;'DADOS DOS EMPREENDIMENTOS'!BE$11,0,IF(BC70='DADOS DOS EMPREENDIMENTOS'!BE$11,SUM(BE$41:BE70)*(1-'DADOS DOS EMPREENDIMENTOS'!#REF!-'DADOS DOS EMPREENDIMENTOS'!#REF!)+'DADOS DOS EMPREENDIMENTOS'!#REF!,IF(BC70='DADOS DOS EMPREENDIMENTOS'!#REF!,'DADOS DOS EMPREENDIMENTOS'!#REF!,BE70*(1-'DADOS DOS EMPREENDIMENTOS'!#REF!-'DADOS DOS EMPREENDIMENTOS'!#REF!))))</f>
        <v>#REF!</v>
      </c>
      <c r="BH70" s="46">
        <v>29</v>
      </c>
      <c r="BI70" s="26">
        <v>40817</v>
      </c>
      <c r="BJ70" s="8">
        <v>0</v>
      </c>
      <c r="BK70" s="61" t="e">
        <f>IF(BH70&lt;'DADOS DOS EMPREENDIMENTOS'!BJ$11,0,IF(BH70='DADOS DOS EMPREENDIMENTOS'!BJ$11,SUM(BJ$41:BJ70)*(1-'DADOS DOS EMPREENDIMENTOS'!#REF!-'DADOS DOS EMPREENDIMENTOS'!#REF!)+'DADOS DOS EMPREENDIMENTOS'!#REF!,IF(BH70='DADOS DOS EMPREENDIMENTOS'!#REF!,'DADOS DOS EMPREENDIMENTOS'!#REF!,BJ70*(1-'DADOS DOS EMPREENDIMENTOS'!#REF!-'DADOS DOS EMPREENDIMENTOS'!#REF!))))</f>
        <v>#REF!</v>
      </c>
      <c r="BM70" s="46">
        <v>29</v>
      </c>
      <c r="BN70" s="26">
        <v>40817</v>
      </c>
      <c r="BO70" s="8">
        <v>0</v>
      </c>
      <c r="BP70" s="61" t="e">
        <f>IF(BM70&lt;'DADOS DOS EMPREENDIMENTOS'!BO$11,0,IF(BM70='DADOS DOS EMPREENDIMENTOS'!BO$11,SUM(BO$41:BO70)*(1-'DADOS DOS EMPREENDIMENTOS'!#REF!-'DADOS DOS EMPREENDIMENTOS'!#REF!)+'DADOS DOS EMPREENDIMENTOS'!#REF!,IF(BM70='DADOS DOS EMPREENDIMENTOS'!BO$12,'DADOS DOS EMPREENDIMENTOS'!#REF!,BO70*(1-'DADOS DOS EMPREENDIMENTOS'!#REF!-'DADOS DOS EMPREENDIMENTOS'!#REF!))))</f>
        <v>#REF!</v>
      </c>
      <c r="BR70" s="46">
        <v>29</v>
      </c>
      <c r="BS70" s="26">
        <v>40817</v>
      </c>
      <c r="BT70" s="8">
        <v>0</v>
      </c>
      <c r="BU70" s="61" t="e">
        <f>IF(BR70&lt;'DADOS DOS EMPREENDIMENTOS'!BT$11,0,IF(BR70='DADOS DOS EMPREENDIMENTOS'!BT$11,SUM(BT$41:BT70)*(1-'DADOS DOS EMPREENDIMENTOS'!#REF!-'DADOS DOS EMPREENDIMENTOS'!#REF!)+'DADOS DOS EMPREENDIMENTOS'!#REF!,IF(BR70='DADOS DOS EMPREENDIMENTOS'!BT$12,'DADOS DOS EMPREENDIMENTOS'!#REF!,BT70*(1-'DADOS DOS EMPREENDIMENTOS'!#REF!-'DADOS DOS EMPREENDIMENTOS'!#REF!))))</f>
        <v>#REF!</v>
      </c>
      <c r="BW70" s="46">
        <v>29</v>
      </c>
      <c r="BX70" s="26">
        <v>40817</v>
      </c>
      <c r="BY70" s="8">
        <v>0</v>
      </c>
      <c r="BZ70" s="61" t="e">
        <f>IF(BW70&lt;'DADOS DOS EMPREENDIMENTOS'!BY$11,0,IF(BW70='DADOS DOS EMPREENDIMENTOS'!BY$11,SUM(BY$41:BY70)*(1-'DADOS DOS EMPREENDIMENTOS'!#REF!-'DADOS DOS EMPREENDIMENTOS'!#REF!)+'DADOS DOS EMPREENDIMENTOS'!#REF!,IF(BW70='DADOS DOS EMPREENDIMENTOS'!BY$12,'DADOS DOS EMPREENDIMENTOS'!#REF!,BY70*(1-'DADOS DOS EMPREENDIMENTOS'!#REF!-'DADOS DOS EMPREENDIMENTOS'!#REF!))))</f>
        <v>#REF!</v>
      </c>
      <c r="CB70" s="46">
        <v>29</v>
      </c>
      <c r="CC70" s="26">
        <v>40817</v>
      </c>
      <c r="CD70" s="8">
        <v>0</v>
      </c>
      <c r="CE70" s="61" t="e">
        <f>IF(CB70&lt;'DADOS DOS EMPREENDIMENTOS'!CD$11,0,IF(CB70='DADOS DOS EMPREENDIMENTOS'!CD$11,SUM(CD$41:CD70)*(1-'DADOS DOS EMPREENDIMENTOS'!#REF!-'DADOS DOS EMPREENDIMENTOS'!#REF!)+'DADOS DOS EMPREENDIMENTOS'!#REF!,IF(CB70='DADOS DOS EMPREENDIMENTOS'!CD$12,'DADOS DOS EMPREENDIMENTOS'!#REF!,CD70*(1-'DADOS DOS EMPREENDIMENTOS'!#REF!-'DADOS DOS EMPREENDIMENTOS'!#REF!))))</f>
        <v>#REF!</v>
      </c>
      <c r="CG70" s="46"/>
      <c r="CH70" s="26"/>
      <c r="CI70" s="8"/>
      <c r="CJ70" s="61"/>
    </row>
    <row r="71" spans="15:88" ht="12.75" customHeight="1" thickBot="1" x14ac:dyDescent="0.25">
      <c r="O71" s="39">
        <v>56</v>
      </c>
      <c r="P71" s="353" t="s">
        <v>310</v>
      </c>
      <c r="Q71" s="356">
        <f>VLOOKUP(P71,Apoio!C:E,2,0)</f>
        <v>248795</v>
      </c>
      <c r="R71" s="355">
        <v>240000</v>
      </c>
      <c r="S71" s="216">
        <v>5</v>
      </c>
      <c r="T71" s="46">
        <v>30</v>
      </c>
      <c r="U71" s="26"/>
      <c r="V71" s="8"/>
      <c r="W71" s="61"/>
      <c r="Y71" s="46">
        <v>30</v>
      </c>
      <c r="Z71" s="26"/>
      <c r="AA71" s="8"/>
      <c r="AB71" s="61"/>
      <c r="AD71" s="46">
        <v>30</v>
      </c>
      <c r="AE71" s="26">
        <v>40848</v>
      </c>
      <c r="AF71" s="8">
        <v>0</v>
      </c>
      <c r="AG71" s="61" t="e">
        <f>IF(AD71&lt;'DADOS DOS EMPREENDIMENTOS'!AF$11,0,IF(AD71='DADOS DOS EMPREENDIMENTOS'!AF$11,SUM(AF$41:AF71)*(1-'DADOS DOS EMPREENDIMENTOS'!#REF!-'DADOS DOS EMPREENDIMENTOS'!#REF!)+'DADOS DOS EMPREENDIMENTOS'!#REF!,IF(AD71='DADOS DOS EMPREENDIMENTOS'!#REF!,'DADOS DOS EMPREENDIMENTOS'!#REF!,AF71*(1-'DADOS DOS EMPREENDIMENTOS'!#REF!-'DADOS DOS EMPREENDIMENTOS'!#REF!))))</f>
        <v>#REF!</v>
      </c>
      <c r="AI71" s="46">
        <v>30</v>
      </c>
      <c r="AJ71" s="26">
        <v>40848</v>
      </c>
      <c r="AK71" s="8">
        <v>0</v>
      </c>
      <c r="AL71" s="61" t="e">
        <f>IF(AI71&lt;'DADOS DOS EMPREENDIMENTOS'!AK$11,0,IF(AI71='DADOS DOS EMPREENDIMENTOS'!AK$11,SUM(AK$41:AK71)*(1-'DADOS DOS EMPREENDIMENTOS'!#REF!-'DADOS DOS EMPREENDIMENTOS'!#REF!)+'DADOS DOS EMPREENDIMENTOS'!#REF!,IF(AI71='DADOS DOS EMPREENDIMENTOS'!#REF!,'DADOS DOS EMPREENDIMENTOS'!#REF!,AK71*(1-'DADOS DOS EMPREENDIMENTOS'!#REF!-'DADOS DOS EMPREENDIMENTOS'!#REF!))))</f>
        <v>#REF!</v>
      </c>
      <c r="AN71" s="46">
        <v>30</v>
      </c>
      <c r="AO71" s="26">
        <v>40848</v>
      </c>
      <c r="AP71" s="8">
        <v>0</v>
      </c>
      <c r="AQ71" s="61" t="e">
        <f>IF(AN71&lt;'DADOS DOS EMPREENDIMENTOS'!AP$11,0,IF(AN71='DADOS DOS EMPREENDIMENTOS'!AP$11,SUM(AP$41:AP71)*(1-'DADOS DOS EMPREENDIMENTOS'!#REF!-'DADOS DOS EMPREENDIMENTOS'!#REF!)+'DADOS DOS EMPREENDIMENTOS'!#REF!,IF(AN71='DADOS DOS EMPREENDIMENTOS'!#REF!,'DADOS DOS EMPREENDIMENTOS'!#REF!,AP71*(1-'DADOS DOS EMPREENDIMENTOS'!#REF!-'DADOS DOS EMPREENDIMENTOS'!#REF!))))</f>
        <v>#REF!</v>
      </c>
      <c r="AS71" s="46">
        <v>30</v>
      </c>
      <c r="AT71" s="26">
        <v>40848</v>
      </c>
      <c r="AU71" s="8">
        <v>0</v>
      </c>
      <c r="AV71" s="61" t="e">
        <f>IF(AS71&lt;'DADOS DOS EMPREENDIMENTOS'!AU$11,0,IF(AS71='DADOS DOS EMPREENDIMENTOS'!AU$11,SUM(AU$41:AU71)*(1-'DADOS DOS EMPREENDIMENTOS'!#REF!-'DADOS DOS EMPREENDIMENTOS'!#REF!)+'DADOS DOS EMPREENDIMENTOS'!#REF!,IF(AS71='DADOS DOS EMPREENDIMENTOS'!#REF!,'DADOS DOS EMPREENDIMENTOS'!#REF!,AU71*(1-'DADOS DOS EMPREENDIMENTOS'!#REF!-'DADOS DOS EMPREENDIMENTOS'!#REF!))))</f>
        <v>#REF!</v>
      </c>
      <c r="AX71" s="46">
        <v>30</v>
      </c>
      <c r="AY71" s="26">
        <v>40848</v>
      </c>
      <c r="AZ71" s="8">
        <v>0</v>
      </c>
      <c r="BA71" s="61" t="e">
        <f>IF(AX71&lt;'DADOS DOS EMPREENDIMENTOS'!AZ$11,0,IF(AX71='DADOS DOS EMPREENDIMENTOS'!AZ$11,SUM(AZ$41:AZ71)*(1-'DADOS DOS EMPREENDIMENTOS'!#REF!-'DADOS DOS EMPREENDIMENTOS'!#REF!)+'DADOS DOS EMPREENDIMENTOS'!#REF!,IF(AX71='DADOS DOS EMPREENDIMENTOS'!#REF!,'DADOS DOS EMPREENDIMENTOS'!#REF!,AZ71*(1-'DADOS DOS EMPREENDIMENTOS'!#REF!-'DADOS DOS EMPREENDIMENTOS'!#REF!))))</f>
        <v>#REF!</v>
      </c>
      <c r="BC71" s="46">
        <v>30</v>
      </c>
      <c r="BD71" s="26">
        <v>40848</v>
      </c>
      <c r="BE71" s="8">
        <v>0</v>
      </c>
      <c r="BF71" s="61" t="e">
        <f>IF(BC71&lt;'DADOS DOS EMPREENDIMENTOS'!BE$11,0,IF(BC71='DADOS DOS EMPREENDIMENTOS'!BE$11,SUM(BE$41:BE71)*(1-'DADOS DOS EMPREENDIMENTOS'!#REF!-'DADOS DOS EMPREENDIMENTOS'!#REF!)+'DADOS DOS EMPREENDIMENTOS'!#REF!,IF(BC71='DADOS DOS EMPREENDIMENTOS'!#REF!,'DADOS DOS EMPREENDIMENTOS'!#REF!,BE71*(1-'DADOS DOS EMPREENDIMENTOS'!#REF!-'DADOS DOS EMPREENDIMENTOS'!#REF!))))</f>
        <v>#REF!</v>
      </c>
      <c r="BH71" s="46">
        <v>30</v>
      </c>
      <c r="BI71" s="26">
        <v>40848</v>
      </c>
      <c r="BJ71" s="8">
        <v>0</v>
      </c>
      <c r="BK71" s="61" t="e">
        <f>IF(BH71&lt;'DADOS DOS EMPREENDIMENTOS'!BJ$11,0,IF(BH71='DADOS DOS EMPREENDIMENTOS'!BJ$11,SUM(BJ$41:BJ71)*(1-'DADOS DOS EMPREENDIMENTOS'!#REF!-'DADOS DOS EMPREENDIMENTOS'!#REF!)+'DADOS DOS EMPREENDIMENTOS'!#REF!,IF(BH71='DADOS DOS EMPREENDIMENTOS'!#REF!,'DADOS DOS EMPREENDIMENTOS'!#REF!,BJ71*(1-'DADOS DOS EMPREENDIMENTOS'!#REF!-'DADOS DOS EMPREENDIMENTOS'!#REF!))))</f>
        <v>#REF!</v>
      </c>
      <c r="BM71" s="46">
        <v>30</v>
      </c>
      <c r="BN71" s="26">
        <v>40848</v>
      </c>
      <c r="BO71" s="8">
        <v>0</v>
      </c>
      <c r="BP71" s="61" t="e">
        <f>IF(BM71&lt;'DADOS DOS EMPREENDIMENTOS'!BO$11,0,IF(BM71='DADOS DOS EMPREENDIMENTOS'!BO$11,SUM(BO$41:BO71)*(1-'DADOS DOS EMPREENDIMENTOS'!#REF!-'DADOS DOS EMPREENDIMENTOS'!#REF!)+'DADOS DOS EMPREENDIMENTOS'!#REF!,IF(BM71='DADOS DOS EMPREENDIMENTOS'!BO$12,'DADOS DOS EMPREENDIMENTOS'!#REF!,BO71*(1-'DADOS DOS EMPREENDIMENTOS'!#REF!-'DADOS DOS EMPREENDIMENTOS'!#REF!))))</f>
        <v>#REF!</v>
      </c>
      <c r="BR71" s="46">
        <v>30</v>
      </c>
      <c r="BS71" s="26">
        <v>40848</v>
      </c>
      <c r="BT71" s="8">
        <v>0</v>
      </c>
      <c r="BU71" s="61" t="e">
        <f>IF(BR71&lt;'DADOS DOS EMPREENDIMENTOS'!BT$11,0,IF(BR71='DADOS DOS EMPREENDIMENTOS'!BT$11,SUM(BT$41:BT71)*(1-'DADOS DOS EMPREENDIMENTOS'!#REF!-'DADOS DOS EMPREENDIMENTOS'!#REF!)+'DADOS DOS EMPREENDIMENTOS'!#REF!,IF(BR71='DADOS DOS EMPREENDIMENTOS'!BT$12,'DADOS DOS EMPREENDIMENTOS'!#REF!,BT71*(1-'DADOS DOS EMPREENDIMENTOS'!#REF!-'DADOS DOS EMPREENDIMENTOS'!#REF!))))</f>
        <v>#REF!</v>
      </c>
      <c r="BW71" s="46">
        <v>30</v>
      </c>
      <c r="BX71" s="26">
        <v>40848</v>
      </c>
      <c r="BY71" s="8">
        <v>0</v>
      </c>
      <c r="BZ71" s="61" t="e">
        <f>IF(BW71&lt;'DADOS DOS EMPREENDIMENTOS'!BY$11,0,IF(BW71='DADOS DOS EMPREENDIMENTOS'!BY$11,SUM(BY$41:BY71)*(1-'DADOS DOS EMPREENDIMENTOS'!#REF!-'DADOS DOS EMPREENDIMENTOS'!#REF!)+'DADOS DOS EMPREENDIMENTOS'!#REF!,IF(BW71='DADOS DOS EMPREENDIMENTOS'!BY$12,'DADOS DOS EMPREENDIMENTOS'!#REF!,BY71*(1-'DADOS DOS EMPREENDIMENTOS'!#REF!-'DADOS DOS EMPREENDIMENTOS'!#REF!))))</f>
        <v>#REF!</v>
      </c>
      <c r="CB71" s="46">
        <v>30</v>
      </c>
      <c r="CC71" s="26">
        <v>40848</v>
      </c>
      <c r="CD71" s="8">
        <v>0</v>
      </c>
      <c r="CE71" s="61" t="e">
        <f>IF(CB71&lt;'DADOS DOS EMPREENDIMENTOS'!CD$11,0,IF(CB71='DADOS DOS EMPREENDIMENTOS'!CD$11,SUM(CD$41:CD71)*(1-'DADOS DOS EMPREENDIMENTOS'!#REF!-'DADOS DOS EMPREENDIMENTOS'!#REF!)+'DADOS DOS EMPREENDIMENTOS'!#REF!,IF(CB71='DADOS DOS EMPREENDIMENTOS'!CD$12,'DADOS DOS EMPREENDIMENTOS'!#REF!,CD71*(1-'DADOS DOS EMPREENDIMENTOS'!#REF!-'DADOS DOS EMPREENDIMENTOS'!#REF!))))</f>
        <v>#REF!</v>
      </c>
      <c r="CG71" s="46"/>
      <c r="CH71" s="26"/>
      <c r="CI71" s="8"/>
      <c r="CJ71" s="61"/>
    </row>
    <row r="72" spans="15:88" ht="12.75" customHeight="1" thickBot="1" x14ac:dyDescent="0.25">
      <c r="O72" s="37">
        <v>57</v>
      </c>
      <c r="P72" s="353" t="s">
        <v>311</v>
      </c>
      <c r="Q72" s="356">
        <f>VLOOKUP(P72,Apoio!C:E,2,0)</f>
        <v>248795</v>
      </c>
      <c r="R72" s="355">
        <v>240000</v>
      </c>
      <c r="S72" s="216">
        <v>5</v>
      </c>
      <c r="T72" s="46">
        <v>31</v>
      </c>
      <c r="U72" s="26"/>
      <c r="V72" s="8"/>
      <c r="W72" s="61"/>
      <c r="Y72" s="46">
        <v>31</v>
      </c>
      <c r="Z72" s="26"/>
      <c r="AA72" s="8"/>
      <c r="AB72" s="61"/>
      <c r="AD72" s="46">
        <v>31</v>
      </c>
      <c r="AE72" s="26">
        <v>40878</v>
      </c>
      <c r="AF72" s="8">
        <v>0</v>
      </c>
      <c r="AG72" s="61" t="e">
        <f>IF(AD72&lt;'DADOS DOS EMPREENDIMENTOS'!AF$11,0,IF(AD72='DADOS DOS EMPREENDIMENTOS'!AF$11,SUM(AF$41:AF72)*(1-'DADOS DOS EMPREENDIMENTOS'!#REF!-'DADOS DOS EMPREENDIMENTOS'!#REF!)+'DADOS DOS EMPREENDIMENTOS'!#REF!,IF(AD72='DADOS DOS EMPREENDIMENTOS'!#REF!,'DADOS DOS EMPREENDIMENTOS'!#REF!,AF72*(1-'DADOS DOS EMPREENDIMENTOS'!#REF!-'DADOS DOS EMPREENDIMENTOS'!#REF!))))</f>
        <v>#REF!</v>
      </c>
      <c r="AI72" s="46">
        <v>31</v>
      </c>
      <c r="AJ72" s="26">
        <v>40878</v>
      </c>
      <c r="AK72" s="8">
        <v>0</v>
      </c>
      <c r="AL72" s="61" t="e">
        <f>IF(AI72&lt;'DADOS DOS EMPREENDIMENTOS'!AK$11,0,IF(AI72='DADOS DOS EMPREENDIMENTOS'!AK$11,SUM(AK$41:AK72)*(1-'DADOS DOS EMPREENDIMENTOS'!#REF!-'DADOS DOS EMPREENDIMENTOS'!#REF!)+'DADOS DOS EMPREENDIMENTOS'!#REF!,IF(AI72='DADOS DOS EMPREENDIMENTOS'!#REF!,'DADOS DOS EMPREENDIMENTOS'!#REF!,AK72*(1-'DADOS DOS EMPREENDIMENTOS'!#REF!-'DADOS DOS EMPREENDIMENTOS'!#REF!))))</f>
        <v>#REF!</v>
      </c>
      <c r="AN72" s="46">
        <v>31</v>
      </c>
      <c r="AO72" s="26">
        <v>40878</v>
      </c>
      <c r="AP72" s="8">
        <v>0</v>
      </c>
      <c r="AQ72" s="61" t="e">
        <f>IF(AN72&lt;'DADOS DOS EMPREENDIMENTOS'!AP$11,0,IF(AN72='DADOS DOS EMPREENDIMENTOS'!AP$11,SUM(AP$41:AP72)*(1-'DADOS DOS EMPREENDIMENTOS'!#REF!-'DADOS DOS EMPREENDIMENTOS'!#REF!)+'DADOS DOS EMPREENDIMENTOS'!#REF!,IF(AN72='DADOS DOS EMPREENDIMENTOS'!#REF!,'DADOS DOS EMPREENDIMENTOS'!#REF!,AP72*(1-'DADOS DOS EMPREENDIMENTOS'!#REF!-'DADOS DOS EMPREENDIMENTOS'!#REF!))))</f>
        <v>#REF!</v>
      </c>
      <c r="AS72" s="46">
        <v>31</v>
      </c>
      <c r="AT72" s="26">
        <v>40878</v>
      </c>
      <c r="AU72" s="8">
        <v>0</v>
      </c>
      <c r="AV72" s="61" t="e">
        <f>IF(AS72&lt;'DADOS DOS EMPREENDIMENTOS'!AU$11,0,IF(AS72='DADOS DOS EMPREENDIMENTOS'!AU$11,SUM(AU$41:AU72)*(1-'DADOS DOS EMPREENDIMENTOS'!#REF!-'DADOS DOS EMPREENDIMENTOS'!#REF!)+'DADOS DOS EMPREENDIMENTOS'!#REF!,IF(AS72='DADOS DOS EMPREENDIMENTOS'!#REF!,'DADOS DOS EMPREENDIMENTOS'!#REF!,AU72*(1-'DADOS DOS EMPREENDIMENTOS'!#REF!-'DADOS DOS EMPREENDIMENTOS'!#REF!))))</f>
        <v>#REF!</v>
      </c>
      <c r="AX72" s="46">
        <v>31</v>
      </c>
      <c r="AY72" s="26">
        <v>40878</v>
      </c>
      <c r="AZ72" s="8">
        <v>0</v>
      </c>
      <c r="BA72" s="61" t="e">
        <f>IF(AX72&lt;'DADOS DOS EMPREENDIMENTOS'!AZ$11,0,IF(AX72='DADOS DOS EMPREENDIMENTOS'!AZ$11,SUM(AZ$41:AZ72)*(1-'DADOS DOS EMPREENDIMENTOS'!#REF!-'DADOS DOS EMPREENDIMENTOS'!#REF!)+'DADOS DOS EMPREENDIMENTOS'!#REF!,IF(AX72='DADOS DOS EMPREENDIMENTOS'!#REF!,'DADOS DOS EMPREENDIMENTOS'!#REF!,AZ72*(1-'DADOS DOS EMPREENDIMENTOS'!#REF!-'DADOS DOS EMPREENDIMENTOS'!#REF!))))</f>
        <v>#REF!</v>
      </c>
      <c r="BC72" s="46">
        <v>31</v>
      </c>
      <c r="BD72" s="26">
        <v>40878</v>
      </c>
      <c r="BE72" s="8">
        <v>0</v>
      </c>
      <c r="BF72" s="61" t="e">
        <f>IF(BC72&lt;'DADOS DOS EMPREENDIMENTOS'!BE$11,0,IF(BC72='DADOS DOS EMPREENDIMENTOS'!BE$11,SUM(BE$41:BE72)*(1-'DADOS DOS EMPREENDIMENTOS'!#REF!-'DADOS DOS EMPREENDIMENTOS'!#REF!)+'DADOS DOS EMPREENDIMENTOS'!#REF!,IF(BC72='DADOS DOS EMPREENDIMENTOS'!#REF!,'DADOS DOS EMPREENDIMENTOS'!#REF!,BE72*(1-'DADOS DOS EMPREENDIMENTOS'!#REF!-'DADOS DOS EMPREENDIMENTOS'!#REF!))))</f>
        <v>#REF!</v>
      </c>
      <c r="BH72" s="46">
        <v>31</v>
      </c>
      <c r="BI72" s="26">
        <v>40878</v>
      </c>
      <c r="BJ72" s="8">
        <v>0</v>
      </c>
      <c r="BK72" s="61" t="e">
        <f>IF(BH72&lt;'DADOS DOS EMPREENDIMENTOS'!BJ$11,0,IF(BH72='DADOS DOS EMPREENDIMENTOS'!BJ$11,SUM(BJ$41:BJ72)*(1-'DADOS DOS EMPREENDIMENTOS'!#REF!-'DADOS DOS EMPREENDIMENTOS'!#REF!)+'DADOS DOS EMPREENDIMENTOS'!#REF!,IF(BH72='DADOS DOS EMPREENDIMENTOS'!#REF!,'DADOS DOS EMPREENDIMENTOS'!#REF!,BJ72*(1-'DADOS DOS EMPREENDIMENTOS'!#REF!-'DADOS DOS EMPREENDIMENTOS'!#REF!))))</f>
        <v>#REF!</v>
      </c>
      <c r="BM72" s="46">
        <v>31</v>
      </c>
      <c r="BN72" s="26">
        <v>40878</v>
      </c>
      <c r="BO72" s="8">
        <v>0</v>
      </c>
      <c r="BP72" s="61" t="e">
        <f>IF(BM72&lt;'DADOS DOS EMPREENDIMENTOS'!BO$11,0,IF(BM72='DADOS DOS EMPREENDIMENTOS'!BO$11,SUM(BO$41:BO72)*(1-'DADOS DOS EMPREENDIMENTOS'!#REF!-'DADOS DOS EMPREENDIMENTOS'!#REF!)+'DADOS DOS EMPREENDIMENTOS'!#REF!,IF(BM72='DADOS DOS EMPREENDIMENTOS'!BO$12,'DADOS DOS EMPREENDIMENTOS'!#REF!,BO72*(1-'DADOS DOS EMPREENDIMENTOS'!#REF!-'DADOS DOS EMPREENDIMENTOS'!#REF!))))</f>
        <v>#REF!</v>
      </c>
      <c r="BR72" s="46">
        <v>31</v>
      </c>
      <c r="BS72" s="26">
        <v>40878</v>
      </c>
      <c r="BT72" s="8">
        <v>0</v>
      </c>
      <c r="BU72" s="61" t="e">
        <f>IF(BR72&lt;'DADOS DOS EMPREENDIMENTOS'!BT$11,0,IF(BR72='DADOS DOS EMPREENDIMENTOS'!BT$11,SUM(BT$41:BT72)*(1-'DADOS DOS EMPREENDIMENTOS'!#REF!-'DADOS DOS EMPREENDIMENTOS'!#REF!)+'DADOS DOS EMPREENDIMENTOS'!#REF!,IF(BR72='DADOS DOS EMPREENDIMENTOS'!BT$12,'DADOS DOS EMPREENDIMENTOS'!#REF!,BT72*(1-'DADOS DOS EMPREENDIMENTOS'!#REF!-'DADOS DOS EMPREENDIMENTOS'!#REF!))))</f>
        <v>#REF!</v>
      </c>
      <c r="BW72" s="46">
        <v>31</v>
      </c>
      <c r="BX72" s="26">
        <v>40878</v>
      </c>
      <c r="BY72" s="8">
        <v>0</v>
      </c>
      <c r="BZ72" s="61" t="e">
        <f>IF(BW72&lt;'DADOS DOS EMPREENDIMENTOS'!BY$11,0,IF(BW72='DADOS DOS EMPREENDIMENTOS'!BY$11,SUM(BY$41:BY72)*(1-'DADOS DOS EMPREENDIMENTOS'!#REF!-'DADOS DOS EMPREENDIMENTOS'!#REF!)+'DADOS DOS EMPREENDIMENTOS'!#REF!,IF(BW72='DADOS DOS EMPREENDIMENTOS'!BY$12,'DADOS DOS EMPREENDIMENTOS'!#REF!,BY72*(1-'DADOS DOS EMPREENDIMENTOS'!#REF!-'DADOS DOS EMPREENDIMENTOS'!#REF!))))</f>
        <v>#REF!</v>
      </c>
      <c r="CB72" s="46">
        <v>31</v>
      </c>
      <c r="CC72" s="26">
        <v>40878</v>
      </c>
      <c r="CD72" s="8">
        <v>0</v>
      </c>
      <c r="CE72" s="61" t="e">
        <f>IF(CB72&lt;'DADOS DOS EMPREENDIMENTOS'!CD$11,0,IF(CB72='DADOS DOS EMPREENDIMENTOS'!CD$11,SUM(CD$41:CD72)*(1-'DADOS DOS EMPREENDIMENTOS'!#REF!-'DADOS DOS EMPREENDIMENTOS'!#REF!)+'DADOS DOS EMPREENDIMENTOS'!#REF!,IF(CB72='DADOS DOS EMPREENDIMENTOS'!CD$12,'DADOS DOS EMPREENDIMENTOS'!#REF!,CD72*(1-'DADOS DOS EMPREENDIMENTOS'!#REF!-'DADOS DOS EMPREENDIMENTOS'!#REF!))))</f>
        <v>#REF!</v>
      </c>
      <c r="CG72" s="46"/>
      <c r="CH72" s="26"/>
      <c r="CI72" s="8"/>
      <c r="CJ72" s="61"/>
    </row>
    <row r="73" spans="15:88" ht="12.75" customHeight="1" thickBot="1" x14ac:dyDescent="0.25">
      <c r="O73" s="39">
        <v>58</v>
      </c>
      <c r="P73" s="353" t="s">
        <v>312</v>
      </c>
      <c r="Q73" s="356">
        <f>VLOOKUP(P73,Apoio!C:E,2,0)</f>
        <v>248795</v>
      </c>
      <c r="R73" s="355">
        <v>240000</v>
      </c>
      <c r="S73" s="216">
        <v>5</v>
      </c>
      <c r="T73" s="46">
        <v>32</v>
      </c>
      <c r="U73" s="26"/>
      <c r="V73" s="8"/>
      <c r="W73" s="61"/>
      <c r="Y73" s="46">
        <v>32</v>
      </c>
      <c r="Z73" s="26"/>
      <c r="AA73" s="8"/>
      <c r="AB73" s="61"/>
      <c r="AD73" s="46">
        <v>32</v>
      </c>
      <c r="AE73" s="26">
        <v>40909</v>
      </c>
      <c r="AF73" s="8">
        <v>0</v>
      </c>
      <c r="AG73" s="61" t="e">
        <f>IF(AD73&lt;'DADOS DOS EMPREENDIMENTOS'!AF$11,0,IF(AD73='DADOS DOS EMPREENDIMENTOS'!AF$11,SUM(AF$41:AF73)*(1-'DADOS DOS EMPREENDIMENTOS'!#REF!-'DADOS DOS EMPREENDIMENTOS'!#REF!)+'DADOS DOS EMPREENDIMENTOS'!#REF!,IF(AD73='DADOS DOS EMPREENDIMENTOS'!#REF!,'DADOS DOS EMPREENDIMENTOS'!#REF!,AF73*(1-'DADOS DOS EMPREENDIMENTOS'!#REF!-'DADOS DOS EMPREENDIMENTOS'!#REF!))))</f>
        <v>#REF!</v>
      </c>
      <c r="AI73" s="46">
        <v>32</v>
      </c>
      <c r="AJ73" s="26">
        <v>40909</v>
      </c>
      <c r="AK73" s="8">
        <v>0</v>
      </c>
      <c r="AL73" s="61" t="e">
        <f>IF(AI73&lt;'DADOS DOS EMPREENDIMENTOS'!AK$11,0,IF(AI73='DADOS DOS EMPREENDIMENTOS'!AK$11,SUM(AK$41:AK73)*(1-'DADOS DOS EMPREENDIMENTOS'!#REF!-'DADOS DOS EMPREENDIMENTOS'!#REF!)+'DADOS DOS EMPREENDIMENTOS'!#REF!,IF(AI73='DADOS DOS EMPREENDIMENTOS'!#REF!,'DADOS DOS EMPREENDIMENTOS'!#REF!,AK73*(1-'DADOS DOS EMPREENDIMENTOS'!#REF!-'DADOS DOS EMPREENDIMENTOS'!#REF!))))</f>
        <v>#REF!</v>
      </c>
      <c r="AN73" s="46">
        <v>32</v>
      </c>
      <c r="AO73" s="26">
        <v>40909</v>
      </c>
      <c r="AP73" s="8">
        <v>0</v>
      </c>
      <c r="AQ73" s="61" t="e">
        <f>IF(AN73&lt;'DADOS DOS EMPREENDIMENTOS'!AP$11,0,IF(AN73='DADOS DOS EMPREENDIMENTOS'!AP$11,SUM(AP$41:AP73)*(1-'DADOS DOS EMPREENDIMENTOS'!#REF!-'DADOS DOS EMPREENDIMENTOS'!#REF!)+'DADOS DOS EMPREENDIMENTOS'!#REF!,IF(AN73='DADOS DOS EMPREENDIMENTOS'!#REF!,'DADOS DOS EMPREENDIMENTOS'!#REF!,AP73*(1-'DADOS DOS EMPREENDIMENTOS'!#REF!-'DADOS DOS EMPREENDIMENTOS'!#REF!))))</f>
        <v>#REF!</v>
      </c>
      <c r="AS73" s="46">
        <v>32</v>
      </c>
      <c r="AT73" s="26">
        <v>40909</v>
      </c>
      <c r="AU73" s="8">
        <v>0</v>
      </c>
      <c r="AV73" s="61" t="e">
        <f>IF(AS73&lt;'DADOS DOS EMPREENDIMENTOS'!AU$11,0,IF(AS73='DADOS DOS EMPREENDIMENTOS'!AU$11,SUM(AU$41:AU73)*(1-'DADOS DOS EMPREENDIMENTOS'!#REF!-'DADOS DOS EMPREENDIMENTOS'!#REF!)+'DADOS DOS EMPREENDIMENTOS'!#REF!,IF(AS73='DADOS DOS EMPREENDIMENTOS'!#REF!,'DADOS DOS EMPREENDIMENTOS'!#REF!,AU73*(1-'DADOS DOS EMPREENDIMENTOS'!#REF!-'DADOS DOS EMPREENDIMENTOS'!#REF!))))</f>
        <v>#REF!</v>
      </c>
      <c r="AX73" s="46">
        <v>32</v>
      </c>
      <c r="AY73" s="26">
        <v>40909</v>
      </c>
      <c r="AZ73" s="8">
        <v>0</v>
      </c>
      <c r="BA73" s="61" t="e">
        <f>IF(AX73&lt;'DADOS DOS EMPREENDIMENTOS'!AZ$11,0,IF(AX73='DADOS DOS EMPREENDIMENTOS'!AZ$11,SUM(AZ$41:AZ73)*(1-'DADOS DOS EMPREENDIMENTOS'!#REF!-'DADOS DOS EMPREENDIMENTOS'!#REF!)+'DADOS DOS EMPREENDIMENTOS'!#REF!,IF(AX73='DADOS DOS EMPREENDIMENTOS'!#REF!,'DADOS DOS EMPREENDIMENTOS'!#REF!,AZ73*(1-'DADOS DOS EMPREENDIMENTOS'!#REF!-'DADOS DOS EMPREENDIMENTOS'!#REF!))))</f>
        <v>#REF!</v>
      </c>
      <c r="BC73" s="46">
        <v>32</v>
      </c>
      <c r="BD73" s="26">
        <v>40909</v>
      </c>
      <c r="BE73" s="8">
        <v>0</v>
      </c>
      <c r="BF73" s="61" t="e">
        <f>IF(BC73&lt;'DADOS DOS EMPREENDIMENTOS'!BE$11,0,IF(BC73='DADOS DOS EMPREENDIMENTOS'!BE$11,SUM(BE$41:BE73)*(1-'DADOS DOS EMPREENDIMENTOS'!#REF!-'DADOS DOS EMPREENDIMENTOS'!#REF!)+'DADOS DOS EMPREENDIMENTOS'!#REF!,IF(BC73='DADOS DOS EMPREENDIMENTOS'!#REF!,'DADOS DOS EMPREENDIMENTOS'!#REF!,BE73*(1-'DADOS DOS EMPREENDIMENTOS'!#REF!-'DADOS DOS EMPREENDIMENTOS'!#REF!))))</f>
        <v>#REF!</v>
      </c>
      <c r="BH73" s="46">
        <v>32</v>
      </c>
      <c r="BI73" s="26">
        <v>40909</v>
      </c>
      <c r="BJ73" s="8">
        <v>0</v>
      </c>
      <c r="BK73" s="61" t="e">
        <f>IF(BH73&lt;'DADOS DOS EMPREENDIMENTOS'!BJ$11,0,IF(BH73='DADOS DOS EMPREENDIMENTOS'!BJ$11,SUM(BJ$41:BJ73)*(1-'DADOS DOS EMPREENDIMENTOS'!#REF!-'DADOS DOS EMPREENDIMENTOS'!#REF!)+'DADOS DOS EMPREENDIMENTOS'!#REF!,IF(BH73='DADOS DOS EMPREENDIMENTOS'!#REF!,'DADOS DOS EMPREENDIMENTOS'!#REF!,BJ73*(1-'DADOS DOS EMPREENDIMENTOS'!#REF!-'DADOS DOS EMPREENDIMENTOS'!#REF!))))</f>
        <v>#REF!</v>
      </c>
      <c r="BM73" s="46">
        <v>32</v>
      </c>
      <c r="BN73" s="26">
        <v>40909</v>
      </c>
      <c r="BO73" s="8">
        <v>0</v>
      </c>
      <c r="BP73" s="61" t="e">
        <f>IF(BM73&lt;'DADOS DOS EMPREENDIMENTOS'!BO$11,0,IF(BM73='DADOS DOS EMPREENDIMENTOS'!BO$11,SUM(BO$41:BO73)*(1-'DADOS DOS EMPREENDIMENTOS'!#REF!-'DADOS DOS EMPREENDIMENTOS'!#REF!)+'DADOS DOS EMPREENDIMENTOS'!#REF!,IF(BM73='DADOS DOS EMPREENDIMENTOS'!BO$12,'DADOS DOS EMPREENDIMENTOS'!#REF!,BO73*(1-'DADOS DOS EMPREENDIMENTOS'!#REF!-'DADOS DOS EMPREENDIMENTOS'!#REF!))))</f>
        <v>#REF!</v>
      </c>
      <c r="BR73" s="46">
        <v>32</v>
      </c>
      <c r="BS73" s="26">
        <v>40909</v>
      </c>
      <c r="BT73" s="8">
        <v>0</v>
      </c>
      <c r="BU73" s="61" t="e">
        <f>IF(BR73&lt;'DADOS DOS EMPREENDIMENTOS'!BT$11,0,IF(BR73='DADOS DOS EMPREENDIMENTOS'!BT$11,SUM(BT$41:BT73)*(1-'DADOS DOS EMPREENDIMENTOS'!#REF!-'DADOS DOS EMPREENDIMENTOS'!#REF!)+'DADOS DOS EMPREENDIMENTOS'!#REF!,IF(BR73='DADOS DOS EMPREENDIMENTOS'!BT$12,'DADOS DOS EMPREENDIMENTOS'!#REF!,BT73*(1-'DADOS DOS EMPREENDIMENTOS'!#REF!-'DADOS DOS EMPREENDIMENTOS'!#REF!))))</f>
        <v>#REF!</v>
      </c>
      <c r="BW73" s="46">
        <v>32</v>
      </c>
      <c r="BX73" s="26">
        <v>40909</v>
      </c>
      <c r="BY73" s="8">
        <v>0</v>
      </c>
      <c r="BZ73" s="61" t="e">
        <f>IF(BW73&lt;'DADOS DOS EMPREENDIMENTOS'!BY$11,0,IF(BW73='DADOS DOS EMPREENDIMENTOS'!BY$11,SUM(BY$41:BY73)*(1-'DADOS DOS EMPREENDIMENTOS'!#REF!-'DADOS DOS EMPREENDIMENTOS'!#REF!)+'DADOS DOS EMPREENDIMENTOS'!#REF!,IF(BW73='DADOS DOS EMPREENDIMENTOS'!BY$12,'DADOS DOS EMPREENDIMENTOS'!#REF!,BY73*(1-'DADOS DOS EMPREENDIMENTOS'!#REF!-'DADOS DOS EMPREENDIMENTOS'!#REF!))))</f>
        <v>#REF!</v>
      </c>
      <c r="CB73" s="46">
        <v>32</v>
      </c>
      <c r="CC73" s="26">
        <v>40909</v>
      </c>
      <c r="CD73" s="8">
        <v>0</v>
      </c>
      <c r="CE73" s="61" t="e">
        <f>IF(CB73&lt;'DADOS DOS EMPREENDIMENTOS'!CD$11,0,IF(CB73='DADOS DOS EMPREENDIMENTOS'!CD$11,SUM(CD$41:CD73)*(1-'DADOS DOS EMPREENDIMENTOS'!#REF!-'DADOS DOS EMPREENDIMENTOS'!#REF!)+'DADOS DOS EMPREENDIMENTOS'!#REF!,IF(CB73='DADOS DOS EMPREENDIMENTOS'!CD$12,'DADOS DOS EMPREENDIMENTOS'!#REF!,CD73*(1-'DADOS DOS EMPREENDIMENTOS'!#REF!-'DADOS DOS EMPREENDIMENTOS'!#REF!))))</f>
        <v>#REF!</v>
      </c>
      <c r="CG73" s="46"/>
      <c r="CH73" s="26"/>
      <c r="CI73" s="8"/>
      <c r="CJ73" s="61"/>
    </row>
    <row r="74" spans="15:88" ht="12.75" customHeight="1" thickBot="1" x14ac:dyDescent="0.25">
      <c r="O74" s="37">
        <v>59</v>
      </c>
      <c r="P74" s="353" t="s">
        <v>313</v>
      </c>
      <c r="Q74" s="356">
        <f>VLOOKUP(P74,Apoio!C:E,2,0)</f>
        <v>248795</v>
      </c>
      <c r="R74" s="355">
        <v>240000</v>
      </c>
      <c r="S74" s="216">
        <v>5</v>
      </c>
      <c r="T74" s="46">
        <v>33</v>
      </c>
      <c r="U74" s="26"/>
      <c r="V74" s="8"/>
      <c r="W74" s="61"/>
      <c r="Y74" s="46">
        <v>33</v>
      </c>
      <c r="Z74" s="26"/>
      <c r="AA74" s="8"/>
      <c r="AB74" s="61"/>
      <c r="AD74" s="46">
        <v>33</v>
      </c>
      <c r="AE74" s="26">
        <v>40940</v>
      </c>
      <c r="AF74" s="8">
        <v>0</v>
      </c>
      <c r="AG74" s="61" t="e">
        <f>IF(AD74&lt;'DADOS DOS EMPREENDIMENTOS'!AF$11,0,IF(AD74='DADOS DOS EMPREENDIMENTOS'!AF$11,SUM(AF$41:AF74)*(1-'DADOS DOS EMPREENDIMENTOS'!#REF!-'DADOS DOS EMPREENDIMENTOS'!#REF!)+'DADOS DOS EMPREENDIMENTOS'!#REF!,IF(AD74='DADOS DOS EMPREENDIMENTOS'!#REF!,'DADOS DOS EMPREENDIMENTOS'!#REF!,AF74*(1-'DADOS DOS EMPREENDIMENTOS'!#REF!-'DADOS DOS EMPREENDIMENTOS'!#REF!))))</f>
        <v>#REF!</v>
      </c>
      <c r="AI74" s="46">
        <v>33</v>
      </c>
      <c r="AJ74" s="26">
        <v>40940</v>
      </c>
      <c r="AK74" s="8">
        <v>0</v>
      </c>
      <c r="AL74" s="61" t="e">
        <f>IF(AI74&lt;'DADOS DOS EMPREENDIMENTOS'!AK$11,0,IF(AI74='DADOS DOS EMPREENDIMENTOS'!AK$11,SUM(AK$41:AK74)*(1-'DADOS DOS EMPREENDIMENTOS'!#REF!-'DADOS DOS EMPREENDIMENTOS'!#REF!)+'DADOS DOS EMPREENDIMENTOS'!#REF!,IF(AI74='DADOS DOS EMPREENDIMENTOS'!#REF!,'DADOS DOS EMPREENDIMENTOS'!#REF!,AK74*(1-'DADOS DOS EMPREENDIMENTOS'!#REF!-'DADOS DOS EMPREENDIMENTOS'!#REF!))))</f>
        <v>#REF!</v>
      </c>
      <c r="AN74" s="46">
        <v>33</v>
      </c>
      <c r="AO74" s="26">
        <v>40940</v>
      </c>
      <c r="AP74" s="8">
        <v>0</v>
      </c>
      <c r="AQ74" s="61" t="e">
        <f>IF(AN74&lt;'DADOS DOS EMPREENDIMENTOS'!AP$11,0,IF(AN74='DADOS DOS EMPREENDIMENTOS'!AP$11,SUM(AP$41:AP74)*(1-'DADOS DOS EMPREENDIMENTOS'!#REF!-'DADOS DOS EMPREENDIMENTOS'!#REF!)+'DADOS DOS EMPREENDIMENTOS'!#REF!,IF(AN74='DADOS DOS EMPREENDIMENTOS'!#REF!,'DADOS DOS EMPREENDIMENTOS'!#REF!,AP74*(1-'DADOS DOS EMPREENDIMENTOS'!#REF!-'DADOS DOS EMPREENDIMENTOS'!#REF!))))</f>
        <v>#REF!</v>
      </c>
      <c r="AS74" s="46">
        <v>33</v>
      </c>
      <c r="AT74" s="26">
        <v>40940</v>
      </c>
      <c r="AU74" s="8">
        <v>0</v>
      </c>
      <c r="AV74" s="61" t="e">
        <f>IF(AS74&lt;'DADOS DOS EMPREENDIMENTOS'!AU$11,0,IF(AS74='DADOS DOS EMPREENDIMENTOS'!AU$11,SUM(AU$41:AU74)*(1-'DADOS DOS EMPREENDIMENTOS'!#REF!-'DADOS DOS EMPREENDIMENTOS'!#REF!)+'DADOS DOS EMPREENDIMENTOS'!#REF!,IF(AS74='DADOS DOS EMPREENDIMENTOS'!#REF!,'DADOS DOS EMPREENDIMENTOS'!#REF!,AU74*(1-'DADOS DOS EMPREENDIMENTOS'!#REF!-'DADOS DOS EMPREENDIMENTOS'!#REF!))))</f>
        <v>#REF!</v>
      </c>
      <c r="AX74" s="46">
        <v>33</v>
      </c>
      <c r="AY74" s="26">
        <v>40940</v>
      </c>
      <c r="AZ74" s="8">
        <v>0</v>
      </c>
      <c r="BA74" s="61" t="e">
        <f>IF(AX74&lt;'DADOS DOS EMPREENDIMENTOS'!AZ$11,0,IF(AX74='DADOS DOS EMPREENDIMENTOS'!AZ$11,SUM(AZ$41:AZ74)*(1-'DADOS DOS EMPREENDIMENTOS'!#REF!-'DADOS DOS EMPREENDIMENTOS'!#REF!)+'DADOS DOS EMPREENDIMENTOS'!#REF!,IF(AX74='DADOS DOS EMPREENDIMENTOS'!#REF!,'DADOS DOS EMPREENDIMENTOS'!#REF!,AZ74*(1-'DADOS DOS EMPREENDIMENTOS'!#REF!-'DADOS DOS EMPREENDIMENTOS'!#REF!))))</f>
        <v>#REF!</v>
      </c>
      <c r="BC74" s="46">
        <v>33</v>
      </c>
      <c r="BD74" s="26">
        <v>40940</v>
      </c>
      <c r="BE74" s="8">
        <v>0</v>
      </c>
      <c r="BF74" s="61" t="e">
        <f>IF(BC74&lt;'DADOS DOS EMPREENDIMENTOS'!BE$11,0,IF(BC74='DADOS DOS EMPREENDIMENTOS'!BE$11,SUM(BE$41:BE74)*(1-'DADOS DOS EMPREENDIMENTOS'!#REF!-'DADOS DOS EMPREENDIMENTOS'!#REF!)+'DADOS DOS EMPREENDIMENTOS'!#REF!,IF(BC74='DADOS DOS EMPREENDIMENTOS'!#REF!,'DADOS DOS EMPREENDIMENTOS'!#REF!,BE74*(1-'DADOS DOS EMPREENDIMENTOS'!#REF!-'DADOS DOS EMPREENDIMENTOS'!#REF!))))</f>
        <v>#REF!</v>
      </c>
      <c r="BH74" s="46">
        <v>33</v>
      </c>
      <c r="BI74" s="26">
        <v>40940</v>
      </c>
      <c r="BJ74" s="8">
        <v>0</v>
      </c>
      <c r="BK74" s="61" t="e">
        <f>IF(BH74&lt;'DADOS DOS EMPREENDIMENTOS'!BJ$11,0,IF(BH74='DADOS DOS EMPREENDIMENTOS'!BJ$11,SUM(BJ$41:BJ74)*(1-'DADOS DOS EMPREENDIMENTOS'!#REF!-'DADOS DOS EMPREENDIMENTOS'!#REF!)+'DADOS DOS EMPREENDIMENTOS'!#REF!,IF(BH74='DADOS DOS EMPREENDIMENTOS'!#REF!,'DADOS DOS EMPREENDIMENTOS'!#REF!,BJ74*(1-'DADOS DOS EMPREENDIMENTOS'!#REF!-'DADOS DOS EMPREENDIMENTOS'!#REF!))))</f>
        <v>#REF!</v>
      </c>
      <c r="BM74" s="46">
        <v>33</v>
      </c>
      <c r="BN74" s="26">
        <v>40940</v>
      </c>
      <c r="BO74" s="8">
        <v>0</v>
      </c>
      <c r="BP74" s="61" t="e">
        <f>IF(BM74&lt;'DADOS DOS EMPREENDIMENTOS'!BO$11,0,IF(BM74='DADOS DOS EMPREENDIMENTOS'!BO$11,SUM(BO$41:BO74)*(1-'DADOS DOS EMPREENDIMENTOS'!#REF!-'DADOS DOS EMPREENDIMENTOS'!#REF!)+'DADOS DOS EMPREENDIMENTOS'!#REF!,IF(BM74='DADOS DOS EMPREENDIMENTOS'!BO$12,'DADOS DOS EMPREENDIMENTOS'!#REF!,BO74*(1-'DADOS DOS EMPREENDIMENTOS'!#REF!-'DADOS DOS EMPREENDIMENTOS'!#REF!))))</f>
        <v>#REF!</v>
      </c>
      <c r="BR74" s="46">
        <v>33</v>
      </c>
      <c r="BS74" s="26">
        <v>40940</v>
      </c>
      <c r="BT74" s="8">
        <v>0</v>
      </c>
      <c r="BU74" s="61" t="e">
        <f>IF(BR74&lt;'DADOS DOS EMPREENDIMENTOS'!BT$11,0,IF(BR74='DADOS DOS EMPREENDIMENTOS'!BT$11,SUM(BT$41:BT74)*(1-'DADOS DOS EMPREENDIMENTOS'!#REF!-'DADOS DOS EMPREENDIMENTOS'!#REF!)+'DADOS DOS EMPREENDIMENTOS'!#REF!,IF(BR74='DADOS DOS EMPREENDIMENTOS'!BT$12,'DADOS DOS EMPREENDIMENTOS'!#REF!,BT74*(1-'DADOS DOS EMPREENDIMENTOS'!#REF!-'DADOS DOS EMPREENDIMENTOS'!#REF!))))</f>
        <v>#REF!</v>
      </c>
      <c r="BW74" s="46">
        <v>33</v>
      </c>
      <c r="BX74" s="26">
        <v>40940</v>
      </c>
      <c r="BY74" s="8">
        <v>0</v>
      </c>
      <c r="BZ74" s="61" t="e">
        <f>IF(BW74&lt;'DADOS DOS EMPREENDIMENTOS'!BY$11,0,IF(BW74='DADOS DOS EMPREENDIMENTOS'!BY$11,SUM(BY$41:BY74)*(1-'DADOS DOS EMPREENDIMENTOS'!#REF!-'DADOS DOS EMPREENDIMENTOS'!#REF!)+'DADOS DOS EMPREENDIMENTOS'!#REF!,IF(BW74='DADOS DOS EMPREENDIMENTOS'!BY$12,'DADOS DOS EMPREENDIMENTOS'!#REF!,BY74*(1-'DADOS DOS EMPREENDIMENTOS'!#REF!-'DADOS DOS EMPREENDIMENTOS'!#REF!))))</f>
        <v>#REF!</v>
      </c>
      <c r="CB74" s="46">
        <v>33</v>
      </c>
      <c r="CC74" s="26">
        <v>40940</v>
      </c>
      <c r="CD74" s="8">
        <v>0</v>
      </c>
      <c r="CE74" s="61" t="e">
        <f>IF(CB74&lt;'DADOS DOS EMPREENDIMENTOS'!CD$11,0,IF(CB74='DADOS DOS EMPREENDIMENTOS'!CD$11,SUM(CD$41:CD74)*(1-'DADOS DOS EMPREENDIMENTOS'!#REF!-'DADOS DOS EMPREENDIMENTOS'!#REF!)+'DADOS DOS EMPREENDIMENTOS'!#REF!,IF(CB74='DADOS DOS EMPREENDIMENTOS'!CD$12,'DADOS DOS EMPREENDIMENTOS'!#REF!,CD74*(1-'DADOS DOS EMPREENDIMENTOS'!#REF!-'DADOS DOS EMPREENDIMENTOS'!#REF!))))</f>
        <v>#REF!</v>
      </c>
      <c r="CG74" s="46"/>
      <c r="CH74" s="26"/>
      <c r="CI74" s="8"/>
      <c r="CJ74" s="61"/>
    </row>
    <row r="75" spans="15:88" ht="12.75" customHeight="1" thickBot="1" x14ac:dyDescent="0.25">
      <c r="O75" s="39">
        <v>60</v>
      </c>
      <c r="P75" s="353" t="s">
        <v>314</v>
      </c>
      <c r="Q75" s="356">
        <f>VLOOKUP(P75,Apoio!C:E,2,0)</f>
        <v>245020</v>
      </c>
      <c r="R75" s="355">
        <v>226000</v>
      </c>
      <c r="S75" s="216">
        <v>5</v>
      </c>
      <c r="T75" s="46">
        <v>34</v>
      </c>
      <c r="U75" s="26"/>
      <c r="V75" s="8"/>
      <c r="W75" s="61"/>
      <c r="Y75" s="46">
        <v>34</v>
      </c>
      <c r="Z75" s="26"/>
      <c r="AA75" s="8"/>
      <c r="AB75" s="61"/>
      <c r="AD75" s="46">
        <v>34</v>
      </c>
      <c r="AE75" s="26">
        <v>40969</v>
      </c>
      <c r="AF75" s="8">
        <v>0</v>
      </c>
      <c r="AG75" s="61" t="e">
        <f>IF(AD75&lt;'DADOS DOS EMPREENDIMENTOS'!AF$11,0,IF(AD75='DADOS DOS EMPREENDIMENTOS'!AF$11,SUM(AF$41:AF75)*(1-'DADOS DOS EMPREENDIMENTOS'!#REF!-'DADOS DOS EMPREENDIMENTOS'!#REF!)+'DADOS DOS EMPREENDIMENTOS'!#REF!,IF(AD75='DADOS DOS EMPREENDIMENTOS'!#REF!,'DADOS DOS EMPREENDIMENTOS'!#REF!,AF75*(1-'DADOS DOS EMPREENDIMENTOS'!#REF!-'DADOS DOS EMPREENDIMENTOS'!#REF!))))</f>
        <v>#REF!</v>
      </c>
      <c r="AI75" s="46">
        <v>34</v>
      </c>
      <c r="AJ75" s="26">
        <v>40969</v>
      </c>
      <c r="AK75" s="8">
        <v>0</v>
      </c>
      <c r="AL75" s="61" t="e">
        <f>IF(AI75&lt;'DADOS DOS EMPREENDIMENTOS'!AK$11,0,IF(AI75='DADOS DOS EMPREENDIMENTOS'!AK$11,SUM(AK$41:AK75)*(1-'DADOS DOS EMPREENDIMENTOS'!#REF!-'DADOS DOS EMPREENDIMENTOS'!#REF!)+'DADOS DOS EMPREENDIMENTOS'!#REF!,IF(AI75='DADOS DOS EMPREENDIMENTOS'!#REF!,'DADOS DOS EMPREENDIMENTOS'!#REF!,AK75*(1-'DADOS DOS EMPREENDIMENTOS'!#REF!-'DADOS DOS EMPREENDIMENTOS'!#REF!))))</f>
        <v>#REF!</v>
      </c>
      <c r="AN75" s="46">
        <v>34</v>
      </c>
      <c r="AO75" s="26">
        <v>40969</v>
      </c>
      <c r="AP75" s="8">
        <v>0</v>
      </c>
      <c r="AQ75" s="61" t="e">
        <f>IF(AN75&lt;'DADOS DOS EMPREENDIMENTOS'!AP$11,0,IF(AN75='DADOS DOS EMPREENDIMENTOS'!AP$11,SUM(AP$41:AP75)*(1-'DADOS DOS EMPREENDIMENTOS'!#REF!-'DADOS DOS EMPREENDIMENTOS'!#REF!)+'DADOS DOS EMPREENDIMENTOS'!#REF!,IF(AN75='DADOS DOS EMPREENDIMENTOS'!#REF!,'DADOS DOS EMPREENDIMENTOS'!#REF!,AP75*(1-'DADOS DOS EMPREENDIMENTOS'!#REF!-'DADOS DOS EMPREENDIMENTOS'!#REF!))))</f>
        <v>#REF!</v>
      </c>
      <c r="AS75" s="46">
        <v>34</v>
      </c>
      <c r="AT75" s="26">
        <v>40969</v>
      </c>
      <c r="AU75" s="8">
        <v>0</v>
      </c>
      <c r="AV75" s="61" t="e">
        <f>IF(AS75&lt;'DADOS DOS EMPREENDIMENTOS'!AU$11,0,IF(AS75='DADOS DOS EMPREENDIMENTOS'!AU$11,SUM(AU$41:AU75)*(1-'DADOS DOS EMPREENDIMENTOS'!#REF!-'DADOS DOS EMPREENDIMENTOS'!#REF!)+'DADOS DOS EMPREENDIMENTOS'!#REF!,IF(AS75='DADOS DOS EMPREENDIMENTOS'!#REF!,'DADOS DOS EMPREENDIMENTOS'!#REF!,AU75*(1-'DADOS DOS EMPREENDIMENTOS'!#REF!-'DADOS DOS EMPREENDIMENTOS'!#REF!))))</f>
        <v>#REF!</v>
      </c>
      <c r="AX75" s="46">
        <v>34</v>
      </c>
      <c r="AY75" s="26">
        <v>40969</v>
      </c>
      <c r="AZ75" s="8">
        <v>0</v>
      </c>
      <c r="BA75" s="61" t="e">
        <f>IF(AX75&lt;'DADOS DOS EMPREENDIMENTOS'!AZ$11,0,IF(AX75='DADOS DOS EMPREENDIMENTOS'!AZ$11,SUM(AZ$41:AZ75)*(1-'DADOS DOS EMPREENDIMENTOS'!#REF!-'DADOS DOS EMPREENDIMENTOS'!#REF!)+'DADOS DOS EMPREENDIMENTOS'!#REF!,IF(AX75='DADOS DOS EMPREENDIMENTOS'!#REF!,'DADOS DOS EMPREENDIMENTOS'!#REF!,AZ75*(1-'DADOS DOS EMPREENDIMENTOS'!#REF!-'DADOS DOS EMPREENDIMENTOS'!#REF!))))</f>
        <v>#REF!</v>
      </c>
      <c r="BC75" s="46">
        <v>34</v>
      </c>
      <c r="BD75" s="26">
        <v>40969</v>
      </c>
      <c r="BE75" s="8">
        <v>0</v>
      </c>
      <c r="BF75" s="61" t="e">
        <f>IF(BC75&lt;'DADOS DOS EMPREENDIMENTOS'!BE$11,0,IF(BC75='DADOS DOS EMPREENDIMENTOS'!BE$11,SUM(BE$41:BE75)*(1-'DADOS DOS EMPREENDIMENTOS'!#REF!-'DADOS DOS EMPREENDIMENTOS'!#REF!)+'DADOS DOS EMPREENDIMENTOS'!#REF!,IF(BC75='DADOS DOS EMPREENDIMENTOS'!#REF!,'DADOS DOS EMPREENDIMENTOS'!#REF!,BE75*(1-'DADOS DOS EMPREENDIMENTOS'!#REF!-'DADOS DOS EMPREENDIMENTOS'!#REF!))))</f>
        <v>#REF!</v>
      </c>
      <c r="BH75" s="46">
        <v>34</v>
      </c>
      <c r="BI75" s="26">
        <v>40969</v>
      </c>
      <c r="BJ75" s="8">
        <v>0</v>
      </c>
      <c r="BK75" s="61" t="e">
        <f>IF(BH75&lt;'DADOS DOS EMPREENDIMENTOS'!BJ$11,0,IF(BH75='DADOS DOS EMPREENDIMENTOS'!BJ$11,SUM(BJ$41:BJ75)*(1-'DADOS DOS EMPREENDIMENTOS'!#REF!-'DADOS DOS EMPREENDIMENTOS'!#REF!)+'DADOS DOS EMPREENDIMENTOS'!#REF!,IF(BH75='DADOS DOS EMPREENDIMENTOS'!#REF!,'DADOS DOS EMPREENDIMENTOS'!#REF!,BJ75*(1-'DADOS DOS EMPREENDIMENTOS'!#REF!-'DADOS DOS EMPREENDIMENTOS'!#REF!))))</f>
        <v>#REF!</v>
      </c>
      <c r="BM75" s="46">
        <v>34</v>
      </c>
      <c r="BN75" s="26">
        <v>40969</v>
      </c>
      <c r="BO75" s="8">
        <v>0</v>
      </c>
      <c r="BP75" s="61" t="e">
        <f>IF(BM75&lt;'DADOS DOS EMPREENDIMENTOS'!BO$11,0,IF(BM75='DADOS DOS EMPREENDIMENTOS'!BO$11,SUM(BO$41:BO75)*(1-'DADOS DOS EMPREENDIMENTOS'!#REF!-'DADOS DOS EMPREENDIMENTOS'!#REF!)+'DADOS DOS EMPREENDIMENTOS'!#REF!,IF(BM75='DADOS DOS EMPREENDIMENTOS'!BO$12,'DADOS DOS EMPREENDIMENTOS'!#REF!,BO75*(1-'DADOS DOS EMPREENDIMENTOS'!#REF!-'DADOS DOS EMPREENDIMENTOS'!#REF!))))</f>
        <v>#REF!</v>
      </c>
      <c r="BR75" s="46">
        <v>34</v>
      </c>
      <c r="BS75" s="26">
        <v>40969</v>
      </c>
      <c r="BT75" s="8">
        <v>0</v>
      </c>
      <c r="BU75" s="61" t="e">
        <f>IF(BR75&lt;'DADOS DOS EMPREENDIMENTOS'!BT$11,0,IF(BR75='DADOS DOS EMPREENDIMENTOS'!BT$11,SUM(BT$41:BT75)*(1-'DADOS DOS EMPREENDIMENTOS'!#REF!-'DADOS DOS EMPREENDIMENTOS'!#REF!)+'DADOS DOS EMPREENDIMENTOS'!#REF!,IF(BR75='DADOS DOS EMPREENDIMENTOS'!BT$12,'DADOS DOS EMPREENDIMENTOS'!#REF!,BT75*(1-'DADOS DOS EMPREENDIMENTOS'!#REF!-'DADOS DOS EMPREENDIMENTOS'!#REF!))))</f>
        <v>#REF!</v>
      </c>
      <c r="BW75" s="46">
        <v>34</v>
      </c>
      <c r="BX75" s="26">
        <v>40969</v>
      </c>
      <c r="BY75" s="8">
        <v>0</v>
      </c>
      <c r="BZ75" s="61" t="e">
        <f>IF(BW75&lt;'DADOS DOS EMPREENDIMENTOS'!BY$11,0,IF(BW75='DADOS DOS EMPREENDIMENTOS'!BY$11,SUM(BY$41:BY75)*(1-'DADOS DOS EMPREENDIMENTOS'!#REF!-'DADOS DOS EMPREENDIMENTOS'!#REF!)+'DADOS DOS EMPREENDIMENTOS'!#REF!,IF(BW75='DADOS DOS EMPREENDIMENTOS'!BY$12,'DADOS DOS EMPREENDIMENTOS'!#REF!,BY75*(1-'DADOS DOS EMPREENDIMENTOS'!#REF!-'DADOS DOS EMPREENDIMENTOS'!#REF!))))</f>
        <v>#REF!</v>
      </c>
      <c r="CB75" s="46">
        <v>34</v>
      </c>
      <c r="CC75" s="26">
        <v>40969</v>
      </c>
      <c r="CD75" s="8">
        <v>0</v>
      </c>
      <c r="CE75" s="61" t="e">
        <f>IF(CB75&lt;'DADOS DOS EMPREENDIMENTOS'!CD$11,0,IF(CB75='DADOS DOS EMPREENDIMENTOS'!CD$11,SUM(CD$41:CD75)*(1-'DADOS DOS EMPREENDIMENTOS'!#REF!-'DADOS DOS EMPREENDIMENTOS'!#REF!)+'DADOS DOS EMPREENDIMENTOS'!#REF!,IF(CB75='DADOS DOS EMPREENDIMENTOS'!CD$12,'DADOS DOS EMPREENDIMENTOS'!#REF!,CD75*(1-'DADOS DOS EMPREENDIMENTOS'!#REF!-'DADOS DOS EMPREENDIMENTOS'!#REF!))))</f>
        <v>#REF!</v>
      </c>
      <c r="CG75" s="46"/>
      <c r="CH75" s="26"/>
      <c r="CI75" s="8"/>
      <c r="CJ75" s="61"/>
    </row>
    <row r="76" spans="15:88" ht="12.75" customHeight="1" thickBot="1" x14ac:dyDescent="0.25">
      <c r="O76" s="37">
        <v>61</v>
      </c>
      <c r="P76" s="353" t="s">
        <v>315</v>
      </c>
      <c r="Q76" s="356">
        <f>VLOOKUP(P76,Apoio!C:E,2,0)</f>
        <v>245020</v>
      </c>
      <c r="R76" s="355">
        <v>223000</v>
      </c>
      <c r="S76" s="216">
        <v>5</v>
      </c>
      <c r="T76" s="46">
        <v>35</v>
      </c>
      <c r="U76" s="26"/>
      <c r="V76" s="8"/>
      <c r="W76" s="61"/>
      <c r="Y76" s="46">
        <v>35</v>
      </c>
      <c r="Z76" s="26"/>
      <c r="AA76" s="8"/>
      <c r="AB76" s="61"/>
      <c r="AD76" s="46">
        <v>35</v>
      </c>
      <c r="AE76" s="26">
        <v>41000</v>
      </c>
      <c r="AF76" s="8">
        <v>0</v>
      </c>
      <c r="AG76" s="61" t="e">
        <f>IF(AD76&lt;'DADOS DOS EMPREENDIMENTOS'!AF$11,0,IF(AD76='DADOS DOS EMPREENDIMENTOS'!AF$11,SUM(AF$41:AF76)*(1-'DADOS DOS EMPREENDIMENTOS'!#REF!-'DADOS DOS EMPREENDIMENTOS'!#REF!)+'DADOS DOS EMPREENDIMENTOS'!#REF!,IF(AD76='DADOS DOS EMPREENDIMENTOS'!#REF!,'DADOS DOS EMPREENDIMENTOS'!#REF!,AF76*(1-'DADOS DOS EMPREENDIMENTOS'!#REF!-'DADOS DOS EMPREENDIMENTOS'!#REF!))))</f>
        <v>#REF!</v>
      </c>
      <c r="AI76" s="46">
        <v>35</v>
      </c>
      <c r="AJ76" s="26">
        <v>41000</v>
      </c>
      <c r="AK76" s="8">
        <v>0</v>
      </c>
      <c r="AL76" s="61" t="e">
        <f>IF(AI76&lt;'DADOS DOS EMPREENDIMENTOS'!AK$11,0,IF(AI76='DADOS DOS EMPREENDIMENTOS'!AK$11,SUM(AK$41:AK76)*(1-'DADOS DOS EMPREENDIMENTOS'!#REF!-'DADOS DOS EMPREENDIMENTOS'!#REF!)+'DADOS DOS EMPREENDIMENTOS'!#REF!,IF(AI76='DADOS DOS EMPREENDIMENTOS'!#REF!,'DADOS DOS EMPREENDIMENTOS'!#REF!,AK76*(1-'DADOS DOS EMPREENDIMENTOS'!#REF!-'DADOS DOS EMPREENDIMENTOS'!#REF!))))</f>
        <v>#REF!</v>
      </c>
      <c r="AN76" s="46">
        <v>35</v>
      </c>
      <c r="AO76" s="26">
        <v>41000</v>
      </c>
      <c r="AP76" s="8">
        <v>0</v>
      </c>
      <c r="AQ76" s="61" t="e">
        <f>IF(AN76&lt;'DADOS DOS EMPREENDIMENTOS'!AP$11,0,IF(AN76='DADOS DOS EMPREENDIMENTOS'!AP$11,SUM(AP$41:AP76)*(1-'DADOS DOS EMPREENDIMENTOS'!#REF!-'DADOS DOS EMPREENDIMENTOS'!#REF!)+'DADOS DOS EMPREENDIMENTOS'!#REF!,IF(AN76='DADOS DOS EMPREENDIMENTOS'!#REF!,'DADOS DOS EMPREENDIMENTOS'!#REF!,AP76*(1-'DADOS DOS EMPREENDIMENTOS'!#REF!-'DADOS DOS EMPREENDIMENTOS'!#REF!))))</f>
        <v>#REF!</v>
      </c>
      <c r="AS76" s="46">
        <v>35</v>
      </c>
      <c r="AT76" s="26">
        <v>41000</v>
      </c>
      <c r="AU76" s="8">
        <v>0</v>
      </c>
      <c r="AV76" s="61" t="e">
        <f>IF(AS76&lt;'DADOS DOS EMPREENDIMENTOS'!AU$11,0,IF(AS76='DADOS DOS EMPREENDIMENTOS'!AU$11,SUM(AU$41:AU76)*(1-'DADOS DOS EMPREENDIMENTOS'!#REF!-'DADOS DOS EMPREENDIMENTOS'!#REF!)+'DADOS DOS EMPREENDIMENTOS'!#REF!,IF(AS76='DADOS DOS EMPREENDIMENTOS'!#REF!,'DADOS DOS EMPREENDIMENTOS'!#REF!,AU76*(1-'DADOS DOS EMPREENDIMENTOS'!#REF!-'DADOS DOS EMPREENDIMENTOS'!#REF!))))</f>
        <v>#REF!</v>
      </c>
      <c r="AX76" s="46">
        <v>35</v>
      </c>
      <c r="AY76" s="26">
        <v>41000</v>
      </c>
      <c r="AZ76" s="8">
        <v>0</v>
      </c>
      <c r="BA76" s="61" t="e">
        <f>IF(AX76&lt;'DADOS DOS EMPREENDIMENTOS'!AZ$11,0,IF(AX76='DADOS DOS EMPREENDIMENTOS'!AZ$11,SUM(AZ$41:AZ76)*(1-'DADOS DOS EMPREENDIMENTOS'!#REF!-'DADOS DOS EMPREENDIMENTOS'!#REF!)+'DADOS DOS EMPREENDIMENTOS'!#REF!,IF(AX76='DADOS DOS EMPREENDIMENTOS'!#REF!,'DADOS DOS EMPREENDIMENTOS'!#REF!,AZ76*(1-'DADOS DOS EMPREENDIMENTOS'!#REF!-'DADOS DOS EMPREENDIMENTOS'!#REF!))))</f>
        <v>#REF!</v>
      </c>
      <c r="BC76" s="46">
        <v>35</v>
      </c>
      <c r="BD76" s="26">
        <v>41000</v>
      </c>
      <c r="BE76" s="8">
        <v>0</v>
      </c>
      <c r="BF76" s="61" t="e">
        <f>IF(BC76&lt;'DADOS DOS EMPREENDIMENTOS'!BE$11,0,IF(BC76='DADOS DOS EMPREENDIMENTOS'!BE$11,SUM(BE$41:BE76)*(1-'DADOS DOS EMPREENDIMENTOS'!#REF!-'DADOS DOS EMPREENDIMENTOS'!#REF!)+'DADOS DOS EMPREENDIMENTOS'!#REF!,IF(BC76='DADOS DOS EMPREENDIMENTOS'!#REF!,'DADOS DOS EMPREENDIMENTOS'!#REF!,BE76*(1-'DADOS DOS EMPREENDIMENTOS'!#REF!-'DADOS DOS EMPREENDIMENTOS'!#REF!))))</f>
        <v>#REF!</v>
      </c>
      <c r="BH76" s="46">
        <v>35</v>
      </c>
      <c r="BI76" s="26">
        <v>41000</v>
      </c>
      <c r="BJ76" s="8">
        <v>0</v>
      </c>
      <c r="BK76" s="61" t="e">
        <f>IF(BH76&lt;'DADOS DOS EMPREENDIMENTOS'!BJ$11,0,IF(BH76='DADOS DOS EMPREENDIMENTOS'!BJ$11,SUM(BJ$41:BJ76)*(1-'DADOS DOS EMPREENDIMENTOS'!#REF!-'DADOS DOS EMPREENDIMENTOS'!#REF!)+'DADOS DOS EMPREENDIMENTOS'!#REF!,IF(BH76='DADOS DOS EMPREENDIMENTOS'!#REF!,'DADOS DOS EMPREENDIMENTOS'!#REF!,BJ76*(1-'DADOS DOS EMPREENDIMENTOS'!#REF!-'DADOS DOS EMPREENDIMENTOS'!#REF!))))</f>
        <v>#REF!</v>
      </c>
      <c r="BM76" s="46">
        <v>35</v>
      </c>
      <c r="BN76" s="26">
        <v>41000</v>
      </c>
      <c r="BO76" s="8">
        <v>0</v>
      </c>
      <c r="BP76" s="61" t="e">
        <f>IF(BM76&lt;'DADOS DOS EMPREENDIMENTOS'!BO$11,0,IF(BM76='DADOS DOS EMPREENDIMENTOS'!BO$11,SUM(BO$41:BO76)*(1-'DADOS DOS EMPREENDIMENTOS'!#REF!-'DADOS DOS EMPREENDIMENTOS'!#REF!)+'DADOS DOS EMPREENDIMENTOS'!#REF!,IF(BM76='DADOS DOS EMPREENDIMENTOS'!BO$12,'DADOS DOS EMPREENDIMENTOS'!#REF!,BO76*(1-'DADOS DOS EMPREENDIMENTOS'!#REF!-'DADOS DOS EMPREENDIMENTOS'!#REF!))))</f>
        <v>#REF!</v>
      </c>
      <c r="BR76" s="46">
        <v>35</v>
      </c>
      <c r="BS76" s="26">
        <v>41000</v>
      </c>
      <c r="BT76" s="8">
        <v>0</v>
      </c>
      <c r="BU76" s="61" t="e">
        <f>IF(BR76&lt;'DADOS DOS EMPREENDIMENTOS'!BT$11,0,IF(BR76='DADOS DOS EMPREENDIMENTOS'!BT$11,SUM(BT$41:BT76)*(1-'DADOS DOS EMPREENDIMENTOS'!#REF!-'DADOS DOS EMPREENDIMENTOS'!#REF!)+'DADOS DOS EMPREENDIMENTOS'!#REF!,IF(BR76='DADOS DOS EMPREENDIMENTOS'!BT$12,'DADOS DOS EMPREENDIMENTOS'!#REF!,BT76*(1-'DADOS DOS EMPREENDIMENTOS'!#REF!-'DADOS DOS EMPREENDIMENTOS'!#REF!))))</f>
        <v>#REF!</v>
      </c>
      <c r="BW76" s="46">
        <v>35</v>
      </c>
      <c r="BX76" s="26">
        <v>41000</v>
      </c>
      <c r="BY76" s="8">
        <v>0</v>
      </c>
      <c r="BZ76" s="61" t="e">
        <f>IF(BW76&lt;'DADOS DOS EMPREENDIMENTOS'!BY$11,0,IF(BW76='DADOS DOS EMPREENDIMENTOS'!BY$11,SUM(BY$41:BY76)*(1-'DADOS DOS EMPREENDIMENTOS'!#REF!-'DADOS DOS EMPREENDIMENTOS'!#REF!)+'DADOS DOS EMPREENDIMENTOS'!#REF!,IF(BW76='DADOS DOS EMPREENDIMENTOS'!BY$12,'DADOS DOS EMPREENDIMENTOS'!#REF!,BY76*(1-'DADOS DOS EMPREENDIMENTOS'!#REF!-'DADOS DOS EMPREENDIMENTOS'!#REF!))))</f>
        <v>#REF!</v>
      </c>
      <c r="CB76" s="46">
        <v>35</v>
      </c>
      <c r="CC76" s="26">
        <v>41000</v>
      </c>
      <c r="CD76" s="8">
        <v>0</v>
      </c>
      <c r="CE76" s="61" t="e">
        <f>IF(CB76&lt;'DADOS DOS EMPREENDIMENTOS'!CD$11,0,IF(CB76='DADOS DOS EMPREENDIMENTOS'!CD$11,SUM(CD$41:CD76)*(1-'DADOS DOS EMPREENDIMENTOS'!#REF!-'DADOS DOS EMPREENDIMENTOS'!#REF!)+'DADOS DOS EMPREENDIMENTOS'!#REF!,IF(CB76='DADOS DOS EMPREENDIMENTOS'!CD$12,'DADOS DOS EMPREENDIMENTOS'!#REF!,CD76*(1-'DADOS DOS EMPREENDIMENTOS'!#REF!-'DADOS DOS EMPREENDIMENTOS'!#REF!))))</f>
        <v>#REF!</v>
      </c>
      <c r="CG76" s="46"/>
      <c r="CH76" s="26"/>
      <c r="CI76" s="8"/>
      <c r="CJ76" s="61"/>
    </row>
    <row r="77" spans="15:88" ht="12.75" customHeight="1" thickBot="1" x14ac:dyDescent="0.25">
      <c r="O77" s="39">
        <v>62</v>
      </c>
      <c r="P77" s="353" t="s">
        <v>316</v>
      </c>
      <c r="Q77" s="356">
        <f>VLOOKUP(P77,Apoio!C:E,2,0)</f>
        <v>248795</v>
      </c>
      <c r="R77" s="355">
        <v>240000</v>
      </c>
      <c r="S77" s="216">
        <v>5</v>
      </c>
      <c r="T77" s="46">
        <v>36</v>
      </c>
      <c r="U77" s="26"/>
      <c r="V77" s="8"/>
      <c r="W77" s="61"/>
      <c r="Y77" s="46">
        <v>36</v>
      </c>
      <c r="Z77" s="26"/>
      <c r="AA77" s="8"/>
      <c r="AB77" s="61"/>
      <c r="AD77" s="46">
        <v>36</v>
      </c>
      <c r="AE77" s="26">
        <v>41030</v>
      </c>
      <c r="AF77" s="8">
        <v>0</v>
      </c>
      <c r="AG77" s="61" t="e">
        <f>IF(AD77&lt;'DADOS DOS EMPREENDIMENTOS'!AF$11,0,IF(AD77='DADOS DOS EMPREENDIMENTOS'!AF$11,SUM(AF$41:AF77)*(1-'DADOS DOS EMPREENDIMENTOS'!#REF!-'DADOS DOS EMPREENDIMENTOS'!#REF!)+'DADOS DOS EMPREENDIMENTOS'!#REF!,IF(AD77='DADOS DOS EMPREENDIMENTOS'!#REF!,'DADOS DOS EMPREENDIMENTOS'!#REF!,AF77*(1-'DADOS DOS EMPREENDIMENTOS'!#REF!-'DADOS DOS EMPREENDIMENTOS'!#REF!))))</f>
        <v>#REF!</v>
      </c>
      <c r="AI77" s="46">
        <v>36</v>
      </c>
      <c r="AJ77" s="26">
        <v>41030</v>
      </c>
      <c r="AK77" s="8">
        <v>0</v>
      </c>
      <c r="AL77" s="61" t="e">
        <f>IF(AI77&lt;'DADOS DOS EMPREENDIMENTOS'!AK$11,0,IF(AI77='DADOS DOS EMPREENDIMENTOS'!AK$11,SUM(AK$41:AK77)*(1-'DADOS DOS EMPREENDIMENTOS'!#REF!-'DADOS DOS EMPREENDIMENTOS'!#REF!)+'DADOS DOS EMPREENDIMENTOS'!#REF!,IF(AI77='DADOS DOS EMPREENDIMENTOS'!#REF!,'DADOS DOS EMPREENDIMENTOS'!#REF!,AK77*(1-'DADOS DOS EMPREENDIMENTOS'!#REF!-'DADOS DOS EMPREENDIMENTOS'!#REF!))))</f>
        <v>#REF!</v>
      </c>
      <c r="AN77" s="46">
        <v>36</v>
      </c>
      <c r="AO77" s="26">
        <v>41030</v>
      </c>
      <c r="AP77" s="8">
        <v>0</v>
      </c>
      <c r="AQ77" s="61" t="e">
        <f>IF(AN77&lt;'DADOS DOS EMPREENDIMENTOS'!AP$11,0,IF(AN77='DADOS DOS EMPREENDIMENTOS'!AP$11,SUM(AP$41:AP77)*(1-'DADOS DOS EMPREENDIMENTOS'!#REF!-'DADOS DOS EMPREENDIMENTOS'!#REF!)+'DADOS DOS EMPREENDIMENTOS'!#REF!,IF(AN77='DADOS DOS EMPREENDIMENTOS'!#REF!,'DADOS DOS EMPREENDIMENTOS'!#REF!,AP77*(1-'DADOS DOS EMPREENDIMENTOS'!#REF!-'DADOS DOS EMPREENDIMENTOS'!#REF!))))</f>
        <v>#REF!</v>
      </c>
      <c r="AS77" s="46">
        <v>36</v>
      </c>
      <c r="AT77" s="26">
        <v>41030</v>
      </c>
      <c r="AU77" s="8">
        <v>0</v>
      </c>
      <c r="AV77" s="61" t="e">
        <f>IF(AS77&lt;'DADOS DOS EMPREENDIMENTOS'!AU$11,0,IF(AS77='DADOS DOS EMPREENDIMENTOS'!AU$11,SUM(AU$41:AU77)*(1-'DADOS DOS EMPREENDIMENTOS'!#REF!-'DADOS DOS EMPREENDIMENTOS'!#REF!)+'DADOS DOS EMPREENDIMENTOS'!#REF!,IF(AS77='DADOS DOS EMPREENDIMENTOS'!#REF!,'DADOS DOS EMPREENDIMENTOS'!#REF!,AU77*(1-'DADOS DOS EMPREENDIMENTOS'!#REF!-'DADOS DOS EMPREENDIMENTOS'!#REF!))))</f>
        <v>#REF!</v>
      </c>
      <c r="AX77" s="46">
        <v>36</v>
      </c>
      <c r="AY77" s="26">
        <v>41030</v>
      </c>
      <c r="AZ77" s="8">
        <v>0</v>
      </c>
      <c r="BA77" s="61" t="e">
        <f>IF(AX77&lt;'DADOS DOS EMPREENDIMENTOS'!AZ$11,0,IF(AX77='DADOS DOS EMPREENDIMENTOS'!AZ$11,SUM(AZ$41:AZ77)*(1-'DADOS DOS EMPREENDIMENTOS'!#REF!-'DADOS DOS EMPREENDIMENTOS'!#REF!)+'DADOS DOS EMPREENDIMENTOS'!#REF!,IF(AX77='DADOS DOS EMPREENDIMENTOS'!#REF!,'DADOS DOS EMPREENDIMENTOS'!#REF!,AZ77*(1-'DADOS DOS EMPREENDIMENTOS'!#REF!-'DADOS DOS EMPREENDIMENTOS'!#REF!))))</f>
        <v>#REF!</v>
      </c>
      <c r="BC77" s="46">
        <v>36</v>
      </c>
      <c r="BD77" s="26">
        <v>41030</v>
      </c>
      <c r="BE77" s="8">
        <v>0</v>
      </c>
      <c r="BF77" s="61" t="e">
        <f>IF(BC77&lt;'DADOS DOS EMPREENDIMENTOS'!BE$11,0,IF(BC77='DADOS DOS EMPREENDIMENTOS'!BE$11,SUM(BE$41:BE77)*(1-'DADOS DOS EMPREENDIMENTOS'!#REF!-'DADOS DOS EMPREENDIMENTOS'!#REF!)+'DADOS DOS EMPREENDIMENTOS'!#REF!,IF(BC77='DADOS DOS EMPREENDIMENTOS'!#REF!,'DADOS DOS EMPREENDIMENTOS'!#REF!,BE77*(1-'DADOS DOS EMPREENDIMENTOS'!#REF!-'DADOS DOS EMPREENDIMENTOS'!#REF!))))</f>
        <v>#REF!</v>
      </c>
      <c r="BH77" s="46">
        <v>36</v>
      </c>
      <c r="BI77" s="26">
        <v>41030</v>
      </c>
      <c r="BJ77" s="8">
        <v>0</v>
      </c>
      <c r="BK77" s="61" t="e">
        <f>IF(BH77&lt;'DADOS DOS EMPREENDIMENTOS'!BJ$11,0,IF(BH77='DADOS DOS EMPREENDIMENTOS'!BJ$11,SUM(BJ$41:BJ77)*(1-'DADOS DOS EMPREENDIMENTOS'!#REF!-'DADOS DOS EMPREENDIMENTOS'!#REF!)+'DADOS DOS EMPREENDIMENTOS'!#REF!,IF(BH77='DADOS DOS EMPREENDIMENTOS'!#REF!,'DADOS DOS EMPREENDIMENTOS'!#REF!,BJ77*(1-'DADOS DOS EMPREENDIMENTOS'!#REF!-'DADOS DOS EMPREENDIMENTOS'!#REF!))))</f>
        <v>#REF!</v>
      </c>
      <c r="BM77" s="46">
        <v>36</v>
      </c>
      <c r="BN77" s="26">
        <v>41030</v>
      </c>
      <c r="BO77" s="8">
        <v>0</v>
      </c>
      <c r="BP77" s="61" t="e">
        <f>IF(BM77&lt;'DADOS DOS EMPREENDIMENTOS'!BO$11,0,IF(BM77='DADOS DOS EMPREENDIMENTOS'!BO$11,SUM(BO$41:BO77)*(1-'DADOS DOS EMPREENDIMENTOS'!#REF!-'DADOS DOS EMPREENDIMENTOS'!#REF!)+'DADOS DOS EMPREENDIMENTOS'!#REF!,IF(BM77='DADOS DOS EMPREENDIMENTOS'!BO$12,'DADOS DOS EMPREENDIMENTOS'!#REF!,BO77*(1-'DADOS DOS EMPREENDIMENTOS'!#REF!-'DADOS DOS EMPREENDIMENTOS'!#REF!))))</f>
        <v>#REF!</v>
      </c>
      <c r="BR77" s="46">
        <v>36</v>
      </c>
      <c r="BS77" s="26">
        <v>41030</v>
      </c>
      <c r="BT77" s="8">
        <v>0</v>
      </c>
      <c r="BU77" s="61" t="e">
        <f>IF(BR77&lt;'DADOS DOS EMPREENDIMENTOS'!BT$11,0,IF(BR77='DADOS DOS EMPREENDIMENTOS'!BT$11,SUM(BT$41:BT77)*(1-'DADOS DOS EMPREENDIMENTOS'!#REF!-'DADOS DOS EMPREENDIMENTOS'!#REF!)+'DADOS DOS EMPREENDIMENTOS'!#REF!,IF(BR77='DADOS DOS EMPREENDIMENTOS'!BT$12,'DADOS DOS EMPREENDIMENTOS'!#REF!,BT77*(1-'DADOS DOS EMPREENDIMENTOS'!#REF!-'DADOS DOS EMPREENDIMENTOS'!#REF!))))</f>
        <v>#REF!</v>
      </c>
      <c r="BW77" s="46">
        <v>36</v>
      </c>
      <c r="BX77" s="26">
        <v>41030</v>
      </c>
      <c r="BY77" s="8">
        <v>0</v>
      </c>
      <c r="BZ77" s="61" t="e">
        <f>IF(BW77&lt;'DADOS DOS EMPREENDIMENTOS'!BY$11,0,IF(BW77='DADOS DOS EMPREENDIMENTOS'!BY$11,SUM(BY$41:BY77)*(1-'DADOS DOS EMPREENDIMENTOS'!#REF!-'DADOS DOS EMPREENDIMENTOS'!#REF!)+'DADOS DOS EMPREENDIMENTOS'!#REF!,IF(BW77='DADOS DOS EMPREENDIMENTOS'!BY$12,'DADOS DOS EMPREENDIMENTOS'!#REF!,BY77*(1-'DADOS DOS EMPREENDIMENTOS'!#REF!-'DADOS DOS EMPREENDIMENTOS'!#REF!))))</f>
        <v>#REF!</v>
      </c>
      <c r="CB77" s="46">
        <v>36</v>
      </c>
      <c r="CC77" s="26">
        <v>41030</v>
      </c>
      <c r="CD77" s="8">
        <v>0</v>
      </c>
      <c r="CE77" s="61" t="e">
        <f>IF(CB77&lt;'DADOS DOS EMPREENDIMENTOS'!CD$11,0,IF(CB77='DADOS DOS EMPREENDIMENTOS'!CD$11,SUM(CD$41:CD77)*(1-'DADOS DOS EMPREENDIMENTOS'!#REF!-'DADOS DOS EMPREENDIMENTOS'!#REF!)+'DADOS DOS EMPREENDIMENTOS'!#REF!,IF(CB77='DADOS DOS EMPREENDIMENTOS'!CD$12,'DADOS DOS EMPREENDIMENTOS'!#REF!,CD77*(1-'DADOS DOS EMPREENDIMENTOS'!#REF!-'DADOS DOS EMPREENDIMENTOS'!#REF!))))</f>
        <v>#REF!</v>
      </c>
      <c r="CG77" s="46"/>
      <c r="CH77" s="26"/>
      <c r="CI77" s="8"/>
      <c r="CJ77" s="61"/>
    </row>
    <row r="78" spans="15:88" ht="12.75" customHeight="1" thickBot="1" x14ac:dyDescent="0.25">
      <c r="O78" s="37">
        <v>63</v>
      </c>
      <c r="P78" s="353" t="s">
        <v>317</v>
      </c>
      <c r="Q78" s="356">
        <f>VLOOKUP(P78,Apoio!C:E,2,0)</f>
        <v>248795</v>
      </c>
      <c r="R78" s="355">
        <v>240000</v>
      </c>
      <c r="S78" s="216">
        <v>5</v>
      </c>
      <c r="T78" s="46">
        <v>37</v>
      </c>
      <c r="U78" s="26"/>
      <c r="V78" s="8"/>
      <c r="W78" s="61"/>
      <c r="Y78" s="46">
        <v>37</v>
      </c>
      <c r="Z78" s="26"/>
      <c r="AA78" s="8"/>
      <c r="AB78" s="61"/>
      <c r="AD78" s="46">
        <v>37</v>
      </c>
      <c r="AE78" s="26">
        <v>41061</v>
      </c>
      <c r="AF78" s="8">
        <v>0</v>
      </c>
      <c r="AG78" s="61" t="e">
        <f>IF(AD78&lt;'DADOS DOS EMPREENDIMENTOS'!AF$11,0,IF(AD78='DADOS DOS EMPREENDIMENTOS'!AF$11,SUM(AF$41:AF78)*(1-'DADOS DOS EMPREENDIMENTOS'!#REF!-'DADOS DOS EMPREENDIMENTOS'!#REF!)+'DADOS DOS EMPREENDIMENTOS'!#REF!,IF(AD78='DADOS DOS EMPREENDIMENTOS'!#REF!,'DADOS DOS EMPREENDIMENTOS'!#REF!,AF78*(1-'DADOS DOS EMPREENDIMENTOS'!#REF!-'DADOS DOS EMPREENDIMENTOS'!#REF!))))</f>
        <v>#REF!</v>
      </c>
      <c r="AI78" s="46">
        <v>37</v>
      </c>
      <c r="AJ78" s="26">
        <v>41061</v>
      </c>
      <c r="AK78" s="8">
        <v>0</v>
      </c>
      <c r="AL78" s="61" t="e">
        <f>IF(AI78&lt;'DADOS DOS EMPREENDIMENTOS'!AK$11,0,IF(AI78='DADOS DOS EMPREENDIMENTOS'!AK$11,SUM(AK$41:AK78)*(1-'DADOS DOS EMPREENDIMENTOS'!#REF!-'DADOS DOS EMPREENDIMENTOS'!#REF!)+'DADOS DOS EMPREENDIMENTOS'!#REF!,IF(AI78='DADOS DOS EMPREENDIMENTOS'!#REF!,'DADOS DOS EMPREENDIMENTOS'!#REF!,AK78*(1-'DADOS DOS EMPREENDIMENTOS'!#REF!-'DADOS DOS EMPREENDIMENTOS'!#REF!))))</f>
        <v>#REF!</v>
      </c>
      <c r="AN78" s="46">
        <v>37</v>
      </c>
      <c r="AO78" s="26">
        <v>41061</v>
      </c>
      <c r="AP78" s="8">
        <v>0</v>
      </c>
      <c r="AQ78" s="61" t="e">
        <f>IF(AN78&lt;'DADOS DOS EMPREENDIMENTOS'!AP$11,0,IF(AN78='DADOS DOS EMPREENDIMENTOS'!AP$11,SUM(AP$41:AP78)*(1-'DADOS DOS EMPREENDIMENTOS'!#REF!-'DADOS DOS EMPREENDIMENTOS'!#REF!)+'DADOS DOS EMPREENDIMENTOS'!#REF!,IF(AN78='DADOS DOS EMPREENDIMENTOS'!#REF!,'DADOS DOS EMPREENDIMENTOS'!#REF!,AP78*(1-'DADOS DOS EMPREENDIMENTOS'!#REF!-'DADOS DOS EMPREENDIMENTOS'!#REF!))))</f>
        <v>#REF!</v>
      </c>
      <c r="AS78" s="46">
        <v>37</v>
      </c>
      <c r="AT78" s="26">
        <v>41061</v>
      </c>
      <c r="AU78" s="8">
        <v>0</v>
      </c>
      <c r="AV78" s="61" t="e">
        <f>IF(AS78&lt;'DADOS DOS EMPREENDIMENTOS'!AU$11,0,IF(AS78='DADOS DOS EMPREENDIMENTOS'!AU$11,SUM(AU$41:AU78)*(1-'DADOS DOS EMPREENDIMENTOS'!#REF!-'DADOS DOS EMPREENDIMENTOS'!#REF!)+'DADOS DOS EMPREENDIMENTOS'!#REF!,IF(AS78='DADOS DOS EMPREENDIMENTOS'!#REF!,'DADOS DOS EMPREENDIMENTOS'!#REF!,AU78*(1-'DADOS DOS EMPREENDIMENTOS'!#REF!-'DADOS DOS EMPREENDIMENTOS'!#REF!))))</f>
        <v>#REF!</v>
      </c>
      <c r="AX78" s="46">
        <v>37</v>
      </c>
      <c r="AY78" s="26">
        <v>41061</v>
      </c>
      <c r="AZ78" s="8">
        <v>0</v>
      </c>
      <c r="BA78" s="61" t="e">
        <f>IF(AX78&lt;'DADOS DOS EMPREENDIMENTOS'!AZ$11,0,IF(AX78='DADOS DOS EMPREENDIMENTOS'!AZ$11,SUM(AZ$41:AZ78)*(1-'DADOS DOS EMPREENDIMENTOS'!#REF!-'DADOS DOS EMPREENDIMENTOS'!#REF!)+'DADOS DOS EMPREENDIMENTOS'!#REF!,IF(AX78='DADOS DOS EMPREENDIMENTOS'!#REF!,'DADOS DOS EMPREENDIMENTOS'!#REF!,AZ78*(1-'DADOS DOS EMPREENDIMENTOS'!#REF!-'DADOS DOS EMPREENDIMENTOS'!#REF!))))</f>
        <v>#REF!</v>
      </c>
      <c r="BC78" s="46">
        <v>37</v>
      </c>
      <c r="BD78" s="26">
        <v>41061</v>
      </c>
      <c r="BE78" s="8">
        <v>0</v>
      </c>
      <c r="BF78" s="61" t="e">
        <f>IF(BC78&lt;'DADOS DOS EMPREENDIMENTOS'!BE$11,0,IF(BC78='DADOS DOS EMPREENDIMENTOS'!BE$11,SUM(BE$41:BE78)*(1-'DADOS DOS EMPREENDIMENTOS'!#REF!-'DADOS DOS EMPREENDIMENTOS'!#REF!)+'DADOS DOS EMPREENDIMENTOS'!#REF!,IF(BC78='DADOS DOS EMPREENDIMENTOS'!#REF!,'DADOS DOS EMPREENDIMENTOS'!#REF!,BE78*(1-'DADOS DOS EMPREENDIMENTOS'!#REF!-'DADOS DOS EMPREENDIMENTOS'!#REF!))))</f>
        <v>#REF!</v>
      </c>
      <c r="BH78" s="46">
        <v>37</v>
      </c>
      <c r="BI78" s="26">
        <v>41061</v>
      </c>
      <c r="BJ78" s="8">
        <v>0</v>
      </c>
      <c r="BK78" s="61" t="e">
        <f>IF(BH78&lt;'DADOS DOS EMPREENDIMENTOS'!BJ$11,0,IF(BH78='DADOS DOS EMPREENDIMENTOS'!BJ$11,SUM(BJ$41:BJ78)*(1-'DADOS DOS EMPREENDIMENTOS'!#REF!-'DADOS DOS EMPREENDIMENTOS'!#REF!)+'DADOS DOS EMPREENDIMENTOS'!#REF!,IF(BH78='DADOS DOS EMPREENDIMENTOS'!#REF!,'DADOS DOS EMPREENDIMENTOS'!#REF!,BJ78*(1-'DADOS DOS EMPREENDIMENTOS'!#REF!-'DADOS DOS EMPREENDIMENTOS'!#REF!))))</f>
        <v>#REF!</v>
      </c>
      <c r="BM78" s="46">
        <v>37</v>
      </c>
      <c r="BN78" s="26">
        <v>41061</v>
      </c>
      <c r="BO78" s="8">
        <v>0</v>
      </c>
      <c r="BP78" s="61" t="e">
        <f>IF(BM78&lt;'DADOS DOS EMPREENDIMENTOS'!BO$11,0,IF(BM78='DADOS DOS EMPREENDIMENTOS'!BO$11,SUM(BO$41:BO78)*(1-'DADOS DOS EMPREENDIMENTOS'!#REF!-'DADOS DOS EMPREENDIMENTOS'!#REF!)+'DADOS DOS EMPREENDIMENTOS'!#REF!,IF(BM78='DADOS DOS EMPREENDIMENTOS'!BO$12,'DADOS DOS EMPREENDIMENTOS'!#REF!,BO78*(1-'DADOS DOS EMPREENDIMENTOS'!#REF!-'DADOS DOS EMPREENDIMENTOS'!#REF!))))</f>
        <v>#REF!</v>
      </c>
      <c r="BR78" s="46">
        <v>37</v>
      </c>
      <c r="BS78" s="26">
        <v>41061</v>
      </c>
      <c r="BT78" s="8">
        <v>0</v>
      </c>
      <c r="BU78" s="61" t="e">
        <f>IF(BR78&lt;'DADOS DOS EMPREENDIMENTOS'!BT$11,0,IF(BR78='DADOS DOS EMPREENDIMENTOS'!BT$11,SUM(BT$41:BT78)*(1-'DADOS DOS EMPREENDIMENTOS'!#REF!-'DADOS DOS EMPREENDIMENTOS'!#REF!)+'DADOS DOS EMPREENDIMENTOS'!#REF!,IF(BR78='DADOS DOS EMPREENDIMENTOS'!BT$12,'DADOS DOS EMPREENDIMENTOS'!#REF!,BT78*(1-'DADOS DOS EMPREENDIMENTOS'!#REF!-'DADOS DOS EMPREENDIMENTOS'!#REF!))))</f>
        <v>#REF!</v>
      </c>
      <c r="BW78" s="46">
        <v>37</v>
      </c>
      <c r="BX78" s="26">
        <v>41061</v>
      </c>
      <c r="BY78" s="8">
        <v>0</v>
      </c>
      <c r="BZ78" s="61" t="e">
        <f>IF(BW78&lt;'DADOS DOS EMPREENDIMENTOS'!BY$11,0,IF(BW78='DADOS DOS EMPREENDIMENTOS'!BY$11,SUM(BY$41:BY78)*(1-'DADOS DOS EMPREENDIMENTOS'!#REF!-'DADOS DOS EMPREENDIMENTOS'!#REF!)+'DADOS DOS EMPREENDIMENTOS'!#REF!,IF(BW78='DADOS DOS EMPREENDIMENTOS'!BY$12,'DADOS DOS EMPREENDIMENTOS'!#REF!,BY78*(1-'DADOS DOS EMPREENDIMENTOS'!#REF!-'DADOS DOS EMPREENDIMENTOS'!#REF!))))</f>
        <v>#REF!</v>
      </c>
      <c r="CB78" s="46">
        <v>37</v>
      </c>
      <c r="CC78" s="26">
        <v>41061</v>
      </c>
      <c r="CD78" s="8">
        <v>0</v>
      </c>
      <c r="CE78" s="61" t="e">
        <f>IF(CB78&lt;'DADOS DOS EMPREENDIMENTOS'!CD$11,0,IF(CB78='DADOS DOS EMPREENDIMENTOS'!CD$11,SUM(CD$41:CD78)*(1-'DADOS DOS EMPREENDIMENTOS'!#REF!-'DADOS DOS EMPREENDIMENTOS'!#REF!)+'DADOS DOS EMPREENDIMENTOS'!#REF!,IF(CB78='DADOS DOS EMPREENDIMENTOS'!CD$12,'DADOS DOS EMPREENDIMENTOS'!#REF!,CD78*(1-'DADOS DOS EMPREENDIMENTOS'!#REF!-'DADOS DOS EMPREENDIMENTOS'!#REF!))))</f>
        <v>#REF!</v>
      </c>
      <c r="CG78" s="46"/>
      <c r="CH78" s="26"/>
      <c r="CI78" s="8"/>
      <c r="CJ78" s="61"/>
    </row>
    <row r="79" spans="15:88" ht="12.75" customHeight="1" thickBot="1" x14ac:dyDescent="0.25">
      <c r="O79" s="39">
        <v>64</v>
      </c>
      <c r="P79" s="353" t="s">
        <v>318</v>
      </c>
      <c r="Q79" s="356">
        <f>VLOOKUP(P79,Apoio!C:E,2,0)</f>
        <v>214900</v>
      </c>
      <c r="R79" s="355">
        <v>240000</v>
      </c>
      <c r="S79" s="216">
        <v>5</v>
      </c>
      <c r="T79" s="46">
        <v>38</v>
      </c>
      <c r="U79" s="26"/>
      <c r="V79" s="8"/>
      <c r="W79" s="61"/>
      <c r="Y79" s="46">
        <v>38</v>
      </c>
      <c r="Z79" s="26"/>
      <c r="AA79" s="8"/>
      <c r="AB79" s="61"/>
      <c r="AD79" s="46">
        <v>38</v>
      </c>
      <c r="AE79" s="26">
        <v>41091</v>
      </c>
      <c r="AF79" s="8">
        <v>0</v>
      </c>
      <c r="AG79" s="61" t="e">
        <f>IF(AD79&lt;'DADOS DOS EMPREENDIMENTOS'!AF$11,0,IF(AD79='DADOS DOS EMPREENDIMENTOS'!AF$11,SUM(AF$41:AF79)*(1-'DADOS DOS EMPREENDIMENTOS'!#REF!-'DADOS DOS EMPREENDIMENTOS'!#REF!)+'DADOS DOS EMPREENDIMENTOS'!#REF!,IF(AD79='DADOS DOS EMPREENDIMENTOS'!#REF!,'DADOS DOS EMPREENDIMENTOS'!#REF!,AF79*(1-'DADOS DOS EMPREENDIMENTOS'!#REF!-'DADOS DOS EMPREENDIMENTOS'!#REF!))))</f>
        <v>#REF!</v>
      </c>
      <c r="AI79" s="46">
        <v>38</v>
      </c>
      <c r="AJ79" s="26">
        <v>41091</v>
      </c>
      <c r="AK79" s="8">
        <v>0</v>
      </c>
      <c r="AL79" s="61" t="e">
        <f>IF(AI79&lt;'DADOS DOS EMPREENDIMENTOS'!AK$11,0,IF(AI79='DADOS DOS EMPREENDIMENTOS'!AK$11,SUM(AK$41:AK79)*(1-'DADOS DOS EMPREENDIMENTOS'!#REF!-'DADOS DOS EMPREENDIMENTOS'!#REF!)+'DADOS DOS EMPREENDIMENTOS'!#REF!,IF(AI79='DADOS DOS EMPREENDIMENTOS'!#REF!,'DADOS DOS EMPREENDIMENTOS'!#REF!,AK79*(1-'DADOS DOS EMPREENDIMENTOS'!#REF!-'DADOS DOS EMPREENDIMENTOS'!#REF!))))</f>
        <v>#REF!</v>
      </c>
      <c r="AN79" s="46">
        <v>38</v>
      </c>
      <c r="AO79" s="26">
        <v>41091</v>
      </c>
      <c r="AP79" s="8">
        <v>0</v>
      </c>
      <c r="AQ79" s="61" t="e">
        <f>IF(AN79&lt;'DADOS DOS EMPREENDIMENTOS'!AP$11,0,IF(AN79='DADOS DOS EMPREENDIMENTOS'!AP$11,SUM(AP$41:AP79)*(1-'DADOS DOS EMPREENDIMENTOS'!#REF!-'DADOS DOS EMPREENDIMENTOS'!#REF!)+'DADOS DOS EMPREENDIMENTOS'!#REF!,IF(AN79='DADOS DOS EMPREENDIMENTOS'!#REF!,'DADOS DOS EMPREENDIMENTOS'!#REF!,AP79*(1-'DADOS DOS EMPREENDIMENTOS'!#REF!-'DADOS DOS EMPREENDIMENTOS'!#REF!))))</f>
        <v>#REF!</v>
      </c>
      <c r="AS79" s="46">
        <v>38</v>
      </c>
      <c r="AT79" s="26">
        <v>41091</v>
      </c>
      <c r="AU79" s="8">
        <v>0</v>
      </c>
      <c r="AV79" s="61" t="e">
        <f>IF(AS79&lt;'DADOS DOS EMPREENDIMENTOS'!AU$11,0,IF(AS79='DADOS DOS EMPREENDIMENTOS'!AU$11,SUM(AU$41:AU79)*(1-'DADOS DOS EMPREENDIMENTOS'!#REF!-'DADOS DOS EMPREENDIMENTOS'!#REF!)+'DADOS DOS EMPREENDIMENTOS'!#REF!,IF(AS79='DADOS DOS EMPREENDIMENTOS'!#REF!,'DADOS DOS EMPREENDIMENTOS'!#REF!,AU79*(1-'DADOS DOS EMPREENDIMENTOS'!#REF!-'DADOS DOS EMPREENDIMENTOS'!#REF!))))</f>
        <v>#REF!</v>
      </c>
      <c r="AX79" s="46">
        <v>38</v>
      </c>
      <c r="AY79" s="26">
        <v>41091</v>
      </c>
      <c r="AZ79" s="8">
        <v>0</v>
      </c>
      <c r="BA79" s="61" t="e">
        <f>IF(AX79&lt;'DADOS DOS EMPREENDIMENTOS'!AZ$11,0,IF(AX79='DADOS DOS EMPREENDIMENTOS'!AZ$11,SUM(AZ$41:AZ79)*(1-'DADOS DOS EMPREENDIMENTOS'!#REF!-'DADOS DOS EMPREENDIMENTOS'!#REF!)+'DADOS DOS EMPREENDIMENTOS'!#REF!,IF(AX79='DADOS DOS EMPREENDIMENTOS'!#REF!,'DADOS DOS EMPREENDIMENTOS'!#REF!,AZ79*(1-'DADOS DOS EMPREENDIMENTOS'!#REF!-'DADOS DOS EMPREENDIMENTOS'!#REF!))))</f>
        <v>#REF!</v>
      </c>
      <c r="BC79" s="46">
        <v>38</v>
      </c>
      <c r="BD79" s="26">
        <v>41091</v>
      </c>
      <c r="BE79" s="8">
        <v>0</v>
      </c>
      <c r="BF79" s="61" t="e">
        <f>IF(BC79&lt;'DADOS DOS EMPREENDIMENTOS'!BE$11,0,IF(BC79='DADOS DOS EMPREENDIMENTOS'!BE$11,SUM(BE$41:BE79)*(1-'DADOS DOS EMPREENDIMENTOS'!#REF!-'DADOS DOS EMPREENDIMENTOS'!#REF!)+'DADOS DOS EMPREENDIMENTOS'!#REF!,IF(BC79='DADOS DOS EMPREENDIMENTOS'!#REF!,'DADOS DOS EMPREENDIMENTOS'!#REF!,BE79*(1-'DADOS DOS EMPREENDIMENTOS'!#REF!-'DADOS DOS EMPREENDIMENTOS'!#REF!))))</f>
        <v>#REF!</v>
      </c>
      <c r="BH79" s="46">
        <v>38</v>
      </c>
      <c r="BI79" s="26">
        <v>41091</v>
      </c>
      <c r="BJ79" s="8">
        <v>0</v>
      </c>
      <c r="BK79" s="61" t="e">
        <f>IF(BH79&lt;'DADOS DOS EMPREENDIMENTOS'!BJ$11,0,IF(BH79='DADOS DOS EMPREENDIMENTOS'!BJ$11,SUM(BJ$41:BJ79)*(1-'DADOS DOS EMPREENDIMENTOS'!#REF!-'DADOS DOS EMPREENDIMENTOS'!#REF!)+'DADOS DOS EMPREENDIMENTOS'!#REF!,IF(BH79='DADOS DOS EMPREENDIMENTOS'!#REF!,'DADOS DOS EMPREENDIMENTOS'!#REF!,BJ79*(1-'DADOS DOS EMPREENDIMENTOS'!#REF!-'DADOS DOS EMPREENDIMENTOS'!#REF!))))</f>
        <v>#REF!</v>
      </c>
      <c r="BM79" s="46">
        <v>38</v>
      </c>
      <c r="BN79" s="26">
        <v>41091</v>
      </c>
      <c r="BO79" s="8">
        <v>0</v>
      </c>
      <c r="BP79" s="61" t="e">
        <f>IF(BM79&lt;'DADOS DOS EMPREENDIMENTOS'!BO$11,0,IF(BM79='DADOS DOS EMPREENDIMENTOS'!BO$11,SUM(BO$41:BO79)*(1-'DADOS DOS EMPREENDIMENTOS'!#REF!-'DADOS DOS EMPREENDIMENTOS'!#REF!)+'DADOS DOS EMPREENDIMENTOS'!#REF!,IF(BM79='DADOS DOS EMPREENDIMENTOS'!BO$12,'DADOS DOS EMPREENDIMENTOS'!#REF!,BO79*(1-'DADOS DOS EMPREENDIMENTOS'!#REF!-'DADOS DOS EMPREENDIMENTOS'!#REF!))))</f>
        <v>#REF!</v>
      </c>
      <c r="BR79" s="46">
        <v>38</v>
      </c>
      <c r="BS79" s="26">
        <v>41091</v>
      </c>
      <c r="BT79" s="8">
        <v>0</v>
      </c>
      <c r="BU79" s="61" t="e">
        <f>IF(BR79&lt;'DADOS DOS EMPREENDIMENTOS'!BT$11,0,IF(BR79='DADOS DOS EMPREENDIMENTOS'!BT$11,SUM(BT$41:BT79)*(1-'DADOS DOS EMPREENDIMENTOS'!#REF!-'DADOS DOS EMPREENDIMENTOS'!#REF!)+'DADOS DOS EMPREENDIMENTOS'!#REF!,IF(BR79='DADOS DOS EMPREENDIMENTOS'!BT$12,'DADOS DOS EMPREENDIMENTOS'!#REF!,BT79*(1-'DADOS DOS EMPREENDIMENTOS'!#REF!-'DADOS DOS EMPREENDIMENTOS'!#REF!))))</f>
        <v>#REF!</v>
      </c>
      <c r="BW79" s="46">
        <v>38</v>
      </c>
      <c r="BX79" s="26">
        <v>41091</v>
      </c>
      <c r="BY79" s="8">
        <v>0</v>
      </c>
      <c r="BZ79" s="61" t="e">
        <f>IF(BW79&lt;'DADOS DOS EMPREENDIMENTOS'!BY$11,0,IF(BW79='DADOS DOS EMPREENDIMENTOS'!BY$11,SUM(BY$41:BY79)*(1-'DADOS DOS EMPREENDIMENTOS'!#REF!-'DADOS DOS EMPREENDIMENTOS'!#REF!)+'DADOS DOS EMPREENDIMENTOS'!#REF!,IF(BW79='DADOS DOS EMPREENDIMENTOS'!BY$12,'DADOS DOS EMPREENDIMENTOS'!#REF!,BY79*(1-'DADOS DOS EMPREENDIMENTOS'!#REF!-'DADOS DOS EMPREENDIMENTOS'!#REF!))))</f>
        <v>#REF!</v>
      </c>
      <c r="CB79" s="46">
        <v>38</v>
      </c>
      <c r="CC79" s="26">
        <v>41091</v>
      </c>
      <c r="CD79" s="8">
        <v>0</v>
      </c>
      <c r="CE79" s="61" t="e">
        <f>IF(CB79&lt;'DADOS DOS EMPREENDIMENTOS'!CD$11,0,IF(CB79='DADOS DOS EMPREENDIMENTOS'!CD$11,SUM(CD$41:CD79)*(1-'DADOS DOS EMPREENDIMENTOS'!#REF!-'DADOS DOS EMPREENDIMENTOS'!#REF!)+'DADOS DOS EMPREENDIMENTOS'!#REF!,IF(CB79='DADOS DOS EMPREENDIMENTOS'!CD$12,'DADOS DOS EMPREENDIMENTOS'!#REF!,CD79*(1-'DADOS DOS EMPREENDIMENTOS'!#REF!-'DADOS DOS EMPREENDIMENTOS'!#REF!))))</f>
        <v>#REF!</v>
      </c>
      <c r="CG79" s="46"/>
      <c r="CH79" s="26"/>
      <c r="CI79" s="8"/>
      <c r="CJ79" s="61"/>
    </row>
    <row r="80" spans="15:88" ht="12.75" customHeight="1" thickBot="1" x14ac:dyDescent="0.25">
      <c r="O80" s="37">
        <v>65</v>
      </c>
      <c r="P80" s="353" t="s">
        <v>319</v>
      </c>
      <c r="Q80" s="356">
        <f>VLOOKUP(P80,Apoio!C:E,2,0)</f>
        <v>206140</v>
      </c>
      <c r="R80" s="355">
        <v>240000</v>
      </c>
      <c r="S80" s="216">
        <v>5</v>
      </c>
      <c r="T80" s="46">
        <v>39</v>
      </c>
      <c r="U80" s="26"/>
      <c r="V80" s="8"/>
      <c r="W80" s="61"/>
      <c r="Y80" s="46">
        <v>39</v>
      </c>
      <c r="Z80" s="26"/>
      <c r="AA80" s="8"/>
      <c r="AB80" s="61"/>
      <c r="AD80" s="46">
        <v>39</v>
      </c>
      <c r="AE80" s="26">
        <v>41122</v>
      </c>
      <c r="AF80" s="8">
        <v>0</v>
      </c>
      <c r="AG80" s="61" t="e">
        <f>IF(AD80&lt;'DADOS DOS EMPREENDIMENTOS'!AF$11,0,IF(AD80='DADOS DOS EMPREENDIMENTOS'!AF$11,SUM(AF$41:AF80)*(1-'DADOS DOS EMPREENDIMENTOS'!#REF!-'DADOS DOS EMPREENDIMENTOS'!#REF!)+'DADOS DOS EMPREENDIMENTOS'!#REF!,IF(AD80='DADOS DOS EMPREENDIMENTOS'!#REF!,'DADOS DOS EMPREENDIMENTOS'!#REF!,AF80*(1-'DADOS DOS EMPREENDIMENTOS'!#REF!-'DADOS DOS EMPREENDIMENTOS'!#REF!))))</f>
        <v>#REF!</v>
      </c>
      <c r="AI80" s="46">
        <v>39</v>
      </c>
      <c r="AJ80" s="26">
        <v>41122</v>
      </c>
      <c r="AK80" s="8">
        <v>0</v>
      </c>
      <c r="AL80" s="61" t="e">
        <f>IF(AI80&lt;'DADOS DOS EMPREENDIMENTOS'!AK$11,0,IF(AI80='DADOS DOS EMPREENDIMENTOS'!AK$11,SUM(AK$41:AK80)*(1-'DADOS DOS EMPREENDIMENTOS'!#REF!-'DADOS DOS EMPREENDIMENTOS'!#REF!)+'DADOS DOS EMPREENDIMENTOS'!#REF!,IF(AI80='DADOS DOS EMPREENDIMENTOS'!#REF!,'DADOS DOS EMPREENDIMENTOS'!#REF!,AK80*(1-'DADOS DOS EMPREENDIMENTOS'!#REF!-'DADOS DOS EMPREENDIMENTOS'!#REF!))))</f>
        <v>#REF!</v>
      </c>
      <c r="AN80" s="46">
        <v>39</v>
      </c>
      <c r="AO80" s="26">
        <v>41122</v>
      </c>
      <c r="AP80" s="8">
        <v>0</v>
      </c>
      <c r="AQ80" s="61" t="e">
        <f>IF(AN80&lt;'DADOS DOS EMPREENDIMENTOS'!AP$11,0,IF(AN80='DADOS DOS EMPREENDIMENTOS'!AP$11,SUM(AP$41:AP80)*(1-'DADOS DOS EMPREENDIMENTOS'!#REF!-'DADOS DOS EMPREENDIMENTOS'!#REF!)+'DADOS DOS EMPREENDIMENTOS'!#REF!,IF(AN80='DADOS DOS EMPREENDIMENTOS'!#REF!,'DADOS DOS EMPREENDIMENTOS'!#REF!,AP80*(1-'DADOS DOS EMPREENDIMENTOS'!#REF!-'DADOS DOS EMPREENDIMENTOS'!#REF!))))</f>
        <v>#REF!</v>
      </c>
      <c r="AS80" s="46">
        <v>39</v>
      </c>
      <c r="AT80" s="26">
        <v>41122</v>
      </c>
      <c r="AU80" s="8">
        <v>0</v>
      </c>
      <c r="AV80" s="61" t="e">
        <f>IF(AS80&lt;'DADOS DOS EMPREENDIMENTOS'!AU$11,0,IF(AS80='DADOS DOS EMPREENDIMENTOS'!AU$11,SUM(AU$41:AU80)*(1-'DADOS DOS EMPREENDIMENTOS'!#REF!-'DADOS DOS EMPREENDIMENTOS'!#REF!)+'DADOS DOS EMPREENDIMENTOS'!#REF!,IF(AS80='DADOS DOS EMPREENDIMENTOS'!#REF!,'DADOS DOS EMPREENDIMENTOS'!#REF!,AU80*(1-'DADOS DOS EMPREENDIMENTOS'!#REF!-'DADOS DOS EMPREENDIMENTOS'!#REF!))))</f>
        <v>#REF!</v>
      </c>
      <c r="AX80" s="46">
        <v>39</v>
      </c>
      <c r="AY80" s="26">
        <v>41122</v>
      </c>
      <c r="AZ80" s="8">
        <v>0</v>
      </c>
      <c r="BA80" s="61" t="e">
        <f>IF(AX80&lt;'DADOS DOS EMPREENDIMENTOS'!AZ$11,0,IF(AX80='DADOS DOS EMPREENDIMENTOS'!AZ$11,SUM(AZ$41:AZ80)*(1-'DADOS DOS EMPREENDIMENTOS'!#REF!-'DADOS DOS EMPREENDIMENTOS'!#REF!)+'DADOS DOS EMPREENDIMENTOS'!#REF!,IF(AX80='DADOS DOS EMPREENDIMENTOS'!#REF!,'DADOS DOS EMPREENDIMENTOS'!#REF!,AZ80*(1-'DADOS DOS EMPREENDIMENTOS'!#REF!-'DADOS DOS EMPREENDIMENTOS'!#REF!))))</f>
        <v>#REF!</v>
      </c>
      <c r="BC80" s="46">
        <v>39</v>
      </c>
      <c r="BD80" s="26">
        <v>41122</v>
      </c>
      <c r="BE80" s="8">
        <v>0</v>
      </c>
      <c r="BF80" s="61" t="e">
        <f>IF(BC80&lt;'DADOS DOS EMPREENDIMENTOS'!BE$11,0,IF(BC80='DADOS DOS EMPREENDIMENTOS'!BE$11,SUM(BE$41:BE80)*(1-'DADOS DOS EMPREENDIMENTOS'!#REF!-'DADOS DOS EMPREENDIMENTOS'!#REF!)+'DADOS DOS EMPREENDIMENTOS'!#REF!,IF(BC80='DADOS DOS EMPREENDIMENTOS'!#REF!,'DADOS DOS EMPREENDIMENTOS'!#REF!,BE80*(1-'DADOS DOS EMPREENDIMENTOS'!#REF!-'DADOS DOS EMPREENDIMENTOS'!#REF!))))</f>
        <v>#REF!</v>
      </c>
      <c r="BH80" s="46">
        <v>39</v>
      </c>
      <c r="BI80" s="26">
        <v>41122</v>
      </c>
      <c r="BJ80" s="8">
        <v>0</v>
      </c>
      <c r="BK80" s="61" t="e">
        <f>IF(BH80&lt;'DADOS DOS EMPREENDIMENTOS'!BJ$11,0,IF(BH80='DADOS DOS EMPREENDIMENTOS'!BJ$11,SUM(BJ$41:BJ80)*(1-'DADOS DOS EMPREENDIMENTOS'!#REF!-'DADOS DOS EMPREENDIMENTOS'!#REF!)+'DADOS DOS EMPREENDIMENTOS'!#REF!,IF(BH80='DADOS DOS EMPREENDIMENTOS'!#REF!,'DADOS DOS EMPREENDIMENTOS'!#REF!,BJ80*(1-'DADOS DOS EMPREENDIMENTOS'!#REF!-'DADOS DOS EMPREENDIMENTOS'!#REF!))))</f>
        <v>#REF!</v>
      </c>
      <c r="BM80" s="46">
        <v>39</v>
      </c>
      <c r="BN80" s="26">
        <v>41122</v>
      </c>
      <c r="BO80" s="8">
        <v>0</v>
      </c>
      <c r="BP80" s="61" t="e">
        <f>IF(BM80&lt;'DADOS DOS EMPREENDIMENTOS'!BO$11,0,IF(BM80='DADOS DOS EMPREENDIMENTOS'!BO$11,SUM(BO$41:BO80)*(1-'DADOS DOS EMPREENDIMENTOS'!#REF!-'DADOS DOS EMPREENDIMENTOS'!#REF!)+'DADOS DOS EMPREENDIMENTOS'!#REF!,IF(BM80='DADOS DOS EMPREENDIMENTOS'!BO$12,'DADOS DOS EMPREENDIMENTOS'!#REF!,BO80*(1-'DADOS DOS EMPREENDIMENTOS'!#REF!-'DADOS DOS EMPREENDIMENTOS'!#REF!))))</f>
        <v>#REF!</v>
      </c>
      <c r="BR80" s="46">
        <v>39</v>
      </c>
      <c r="BS80" s="26">
        <v>41122</v>
      </c>
      <c r="BT80" s="8">
        <v>0</v>
      </c>
      <c r="BU80" s="61" t="e">
        <f>IF(BR80&lt;'DADOS DOS EMPREENDIMENTOS'!BT$11,0,IF(BR80='DADOS DOS EMPREENDIMENTOS'!BT$11,SUM(BT$41:BT80)*(1-'DADOS DOS EMPREENDIMENTOS'!#REF!-'DADOS DOS EMPREENDIMENTOS'!#REF!)+'DADOS DOS EMPREENDIMENTOS'!#REF!,IF(BR80='DADOS DOS EMPREENDIMENTOS'!BT$12,'DADOS DOS EMPREENDIMENTOS'!#REF!,BT80*(1-'DADOS DOS EMPREENDIMENTOS'!#REF!-'DADOS DOS EMPREENDIMENTOS'!#REF!))))</f>
        <v>#REF!</v>
      </c>
      <c r="BW80" s="46">
        <v>39</v>
      </c>
      <c r="BX80" s="26">
        <v>41122</v>
      </c>
      <c r="BY80" s="8">
        <v>0</v>
      </c>
      <c r="BZ80" s="61" t="e">
        <f>IF(BW80&lt;'DADOS DOS EMPREENDIMENTOS'!BY$11,0,IF(BW80='DADOS DOS EMPREENDIMENTOS'!BY$11,SUM(BY$41:BY80)*(1-'DADOS DOS EMPREENDIMENTOS'!#REF!-'DADOS DOS EMPREENDIMENTOS'!#REF!)+'DADOS DOS EMPREENDIMENTOS'!#REF!,IF(BW80='DADOS DOS EMPREENDIMENTOS'!BY$12,'DADOS DOS EMPREENDIMENTOS'!#REF!,BY80*(1-'DADOS DOS EMPREENDIMENTOS'!#REF!-'DADOS DOS EMPREENDIMENTOS'!#REF!))))</f>
        <v>#REF!</v>
      </c>
      <c r="CB80" s="46">
        <v>39</v>
      </c>
      <c r="CC80" s="26">
        <v>41122</v>
      </c>
      <c r="CD80" s="8">
        <v>0</v>
      </c>
      <c r="CE80" s="61" t="e">
        <f>IF(CB80&lt;'DADOS DOS EMPREENDIMENTOS'!CD$11,0,IF(CB80='DADOS DOS EMPREENDIMENTOS'!CD$11,SUM(CD$41:CD80)*(1-'DADOS DOS EMPREENDIMENTOS'!#REF!-'DADOS DOS EMPREENDIMENTOS'!#REF!)+'DADOS DOS EMPREENDIMENTOS'!#REF!,IF(CB80='DADOS DOS EMPREENDIMENTOS'!CD$12,'DADOS DOS EMPREENDIMENTOS'!#REF!,CD80*(1-'DADOS DOS EMPREENDIMENTOS'!#REF!-'DADOS DOS EMPREENDIMENTOS'!#REF!))))</f>
        <v>#REF!</v>
      </c>
      <c r="CG80" s="46"/>
      <c r="CH80" s="26"/>
      <c r="CI80" s="8"/>
      <c r="CJ80" s="61"/>
    </row>
    <row r="81" spans="15:88" ht="13.5" customHeight="1" thickBot="1" x14ac:dyDescent="0.25">
      <c r="O81" s="39">
        <v>66</v>
      </c>
      <c r="P81" s="353" t="s">
        <v>320</v>
      </c>
      <c r="Q81" s="356">
        <f>VLOOKUP(P81,Apoio!C:E,2,0)</f>
        <v>205230</v>
      </c>
      <c r="R81" s="355">
        <v>240000</v>
      </c>
      <c r="S81" s="216">
        <v>5</v>
      </c>
      <c r="T81" s="47">
        <v>40</v>
      </c>
      <c r="U81" s="48"/>
      <c r="V81" s="49"/>
      <c r="W81" s="61"/>
      <c r="Y81" s="47">
        <v>40</v>
      </c>
      <c r="Z81" s="48"/>
      <c r="AA81" s="49"/>
      <c r="AB81" s="61"/>
      <c r="AD81" s="47">
        <v>40</v>
      </c>
      <c r="AE81" s="48">
        <v>41153</v>
      </c>
      <c r="AF81" s="49">
        <v>0</v>
      </c>
      <c r="AG81" s="61" t="e">
        <f>IF(AD81&lt;'DADOS DOS EMPREENDIMENTOS'!AF$11,0,IF(AD81='DADOS DOS EMPREENDIMENTOS'!AF$11,SUM(AF$41:AF81)*(1-'DADOS DOS EMPREENDIMENTOS'!#REF!-'DADOS DOS EMPREENDIMENTOS'!#REF!)+'DADOS DOS EMPREENDIMENTOS'!#REF!,IF(AD81='DADOS DOS EMPREENDIMENTOS'!#REF!,'DADOS DOS EMPREENDIMENTOS'!#REF!,AF81*(1-'DADOS DOS EMPREENDIMENTOS'!#REF!-'DADOS DOS EMPREENDIMENTOS'!#REF!))))</f>
        <v>#REF!</v>
      </c>
      <c r="AI81" s="47">
        <v>40</v>
      </c>
      <c r="AJ81" s="48">
        <v>41153</v>
      </c>
      <c r="AK81" s="49">
        <v>0</v>
      </c>
      <c r="AL81" s="61" t="e">
        <f>IF(AI81&lt;'DADOS DOS EMPREENDIMENTOS'!AK$11,0,IF(AI81='DADOS DOS EMPREENDIMENTOS'!AK$11,SUM(AK$41:AK81)*(1-'DADOS DOS EMPREENDIMENTOS'!#REF!-'DADOS DOS EMPREENDIMENTOS'!#REF!)+'DADOS DOS EMPREENDIMENTOS'!#REF!,IF(AI81='DADOS DOS EMPREENDIMENTOS'!#REF!,'DADOS DOS EMPREENDIMENTOS'!#REF!,AK81*(1-'DADOS DOS EMPREENDIMENTOS'!#REF!-'DADOS DOS EMPREENDIMENTOS'!#REF!))))</f>
        <v>#REF!</v>
      </c>
      <c r="AN81" s="47">
        <v>40</v>
      </c>
      <c r="AO81" s="48">
        <v>41153</v>
      </c>
      <c r="AP81" s="49">
        <v>0</v>
      </c>
      <c r="AQ81" s="61" t="e">
        <f>IF(AN81&lt;'DADOS DOS EMPREENDIMENTOS'!AP$11,0,IF(AN81='DADOS DOS EMPREENDIMENTOS'!AP$11,SUM(AP$41:AP81)*(1-'DADOS DOS EMPREENDIMENTOS'!#REF!-'DADOS DOS EMPREENDIMENTOS'!#REF!)+'DADOS DOS EMPREENDIMENTOS'!#REF!,IF(AN81='DADOS DOS EMPREENDIMENTOS'!#REF!,'DADOS DOS EMPREENDIMENTOS'!#REF!,AP81*(1-'DADOS DOS EMPREENDIMENTOS'!#REF!-'DADOS DOS EMPREENDIMENTOS'!#REF!))))</f>
        <v>#REF!</v>
      </c>
      <c r="AS81" s="47">
        <v>40</v>
      </c>
      <c r="AT81" s="48">
        <v>41153</v>
      </c>
      <c r="AU81" s="49">
        <v>0</v>
      </c>
      <c r="AV81" s="61" t="e">
        <f>IF(AS81&lt;'DADOS DOS EMPREENDIMENTOS'!AU$11,0,IF(AS81='DADOS DOS EMPREENDIMENTOS'!AU$11,SUM(AU$41:AU81)*(1-'DADOS DOS EMPREENDIMENTOS'!#REF!-'DADOS DOS EMPREENDIMENTOS'!#REF!)+'DADOS DOS EMPREENDIMENTOS'!#REF!,IF(AS81='DADOS DOS EMPREENDIMENTOS'!#REF!,'DADOS DOS EMPREENDIMENTOS'!#REF!,AU81*(1-'DADOS DOS EMPREENDIMENTOS'!#REF!-'DADOS DOS EMPREENDIMENTOS'!#REF!))))</f>
        <v>#REF!</v>
      </c>
      <c r="AX81" s="47">
        <v>40</v>
      </c>
      <c r="AY81" s="48">
        <v>41153</v>
      </c>
      <c r="AZ81" s="49">
        <v>0</v>
      </c>
      <c r="BA81" s="61" t="e">
        <f>IF(AX81&lt;'DADOS DOS EMPREENDIMENTOS'!AZ$11,0,IF(AX81='DADOS DOS EMPREENDIMENTOS'!AZ$11,SUM(AZ$41:AZ81)*(1-'DADOS DOS EMPREENDIMENTOS'!#REF!-'DADOS DOS EMPREENDIMENTOS'!#REF!)+'DADOS DOS EMPREENDIMENTOS'!#REF!,IF(AX81='DADOS DOS EMPREENDIMENTOS'!#REF!,'DADOS DOS EMPREENDIMENTOS'!#REF!,AZ81*(1-'DADOS DOS EMPREENDIMENTOS'!#REF!-'DADOS DOS EMPREENDIMENTOS'!#REF!))))</f>
        <v>#REF!</v>
      </c>
      <c r="BC81" s="47">
        <v>40</v>
      </c>
      <c r="BD81" s="48">
        <v>41153</v>
      </c>
      <c r="BE81" s="49">
        <v>0</v>
      </c>
      <c r="BF81" s="61" t="e">
        <f>IF(BC81&lt;'DADOS DOS EMPREENDIMENTOS'!BE$11,0,IF(BC81='DADOS DOS EMPREENDIMENTOS'!BE$11,SUM(BE$41:BE81)*(1-'DADOS DOS EMPREENDIMENTOS'!#REF!-'DADOS DOS EMPREENDIMENTOS'!#REF!)+'DADOS DOS EMPREENDIMENTOS'!#REF!,IF(BC81='DADOS DOS EMPREENDIMENTOS'!#REF!,'DADOS DOS EMPREENDIMENTOS'!#REF!,BE81*(1-'DADOS DOS EMPREENDIMENTOS'!#REF!-'DADOS DOS EMPREENDIMENTOS'!#REF!))))</f>
        <v>#REF!</v>
      </c>
      <c r="BH81" s="47">
        <v>40</v>
      </c>
      <c r="BI81" s="48">
        <v>41153</v>
      </c>
      <c r="BJ81" s="49">
        <v>0</v>
      </c>
      <c r="BK81" s="61" t="e">
        <f>IF(BH81&lt;'DADOS DOS EMPREENDIMENTOS'!BJ$11,0,IF(BH81='DADOS DOS EMPREENDIMENTOS'!BJ$11,SUM(BJ$41:BJ81)*(1-'DADOS DOS EMPREENDIMENTOS'!#REF!-'DADOS DOS EMPREENDIMENTOS'!#REF!)+'DADOS DOS EMPREENDIMENTOS'!#REF!,IF(BH81='DADOS DOS EMPREENDIMENTOS'!#REF!,'DADOS DOS EMPREENDIMENTOS'!#REF!,BJ81*(1-'DADOS DOS EMPREENDIMENTOS'!#REF!-'DADOS DOS EMPREENDIMENTOS'!#REF!))))</f>
        <v>#REF!</v>
      </c>
      <c r="BM81" s="47">
        <v>40</v>
      </c>
      <c r="BN81" s="48">
        <v>41153</v>
      </c>
      <c r="BO81" s="49">
        <v>0</v>
      </c>
      <c r="BP81" s="61" t="e">
        <f>IF(BM81&lt;'DADOS DOS EMPREENDIMENTOS'!BO$11,0,IF(BM81='DADOS DOS EMPREENDIMENTOS'!BO$11,SUM(BO$41:BO81)*(1-'DADOS DOS EMPREENDIMENTOS'!#REF!-'DADOS DOS EMPREENDIMENTOS'!#REF!)+'DADOS DOS EMPREENDIMENTOS'!#REF!,IF(BM81='DADOS DOS EMPREENDIMENTOS'!BO$12,'DADOS DOS EMPREENDIMENTOS'!#REF!,BO81*(1-'DADOS DOS EMPREENDIMENTOS'!#REF!-'DADOS DOS EMPREENDIMENTOS'!#REF!))))</f>
        <v>#REF!</v>
      </c>
      <c r="BR81" s="47">
        <v>40</v>
      </c>
      <c r="BS81" s="48">
        <v>41153</v>
      </c>
      <c r="BT81" s="49">
        <v>0</v>
      </c>
      <c r="BU81" s="61" t="e">
        <f>IF(BR81&lt;'DADOS DOS EMPREENDIMENTOS'!BT$11,0,IF(BR81='DADOS DOS EMPREENDIMENTOS'!BT$11,SUM(BT$41:BT81)*(1-'DADOS DOS EMPREENDIMENTOS'!#REF!-'DADOS DOS EMPREENDIMENTOS'!#REF!)+'DADOS DOS EMPREENDIMENTOS'!#REF!,IF(BR81='DADOS DOS EMPREENDIMENTOS'!BT$12,'DADOS DOS EMPREENDIMENTOS'!#REF!,BT81*(1-'DADOS DOS EMPREENDIMENTOS'!#REF!-'DADOS DOS EMPREENDIMENTOS'!#REF!))))</f>
        <v>#REF!</v>
      </c>
      <c r="BW81" s="47">
        <v>40</v>
      </c>
      <c r="BX81" s="48">
        <v>41153</v>
      </c>
      <c r="BY81" s="49">
        <v>0</v>
      </c>
      <c r="BZ81" s="61" t="e">
        <f>IF(BW81&lt;'DADOS DOS EMPREENDIMENTOS'!BY$11,0,IF(BW81='DADOS DOS EMPREENDIMENTOS'!BY$11,SUM(BY$41:BY81)*(1-'DADOS DOS EMPREENDIMENTOS'!#REF!-'DADOS DOS EMPREENDIMENTOS'!#REF!)+'DADOS DOS EMPREENDIMENTOS'!#REF!,IF(BW81='DADOS DOS EMPREENDIMENTOS'!BY$12,'DADOS DOS EMPREENDIMENTOS'!#REF!,BY81*(1-'DADOS DOS EMPREENDIMENTOS'!#REF!-'DADOS DOS EMPREENDIMENTOS'!#REF!))))</f>
        <v>#REF!</v>
      </c>
      <c r="CB81" s="47">
        <v>40</v>
      </c>
      <c r="CC81" s="48">
        <v>41153</v>
      </c>
      <c r="CD81" s="49">
        <v>0</v>
      </c>
      <c r="CE81" s="61" t="e">
        <f>IF(CB81&lt;'DADOS DOS EMPREENDIMENTOS'!CD$11,0,IF(CB81='DADOS DOS EMPREENDIMENTOS'!CD$11,SUM(CD$41:CD81)*(1-'DADOS DOS EMPREENDIMENTOS'!#REF!-'DADOS DOS EMPREENDIMENTOS'!#REF!)+'DADOS DOS EMPREENDIMENTOS'!#REF!,IF(CB81='DADOS DOS EMPREENDIMENTOS'!CD$12,'DADOS DOS EMPREENDIMENTOS'!#REF!,CD81*(1-'DADOS DOS EMPREENDIMENTOS'!#REF!-'DADOS DOS EMPREENDIMENTOS'!#REF!))))</f>
        <v>#REF!</v>
      </c>
      <c r="CG81" s="47"/>
      <c r="CH81" s="48"/>
      <c r="CI81" s="49"/>
      <c r="CJ81" s="61"/>
    </row>
    <row r="82" spans="15:88" ht="12.75" customHeight="1" thickBot="1" x14ac:dyDescent="0.25">
      <c r="O82" s="37">
        <v>67</v>
      </c>
      <c r="P82" s="353" t="s">
        <v>321</v>
      </c>
      <c r="Q82" s="356">
        <f>VLOOKUP(P82,Apoio!C:E,2,0)</f>
        <v>206850</v>
      </c>
      <c r="R82" s="355">
        <v>240000</v>
      </c>
      <c r="S82" s="216">
        <v>5</v>
      </c>
    </row>
    <row r="83" spans="15:88" ht="12.75" customHeight="1" thickBot="1" x14ac:dyDescent="0.25">
      <c r="O83" s="39">
        <v>68</v>
      </c>
      <c r="P83" s="353" t="s">
        <v>322</v>
      </c>
      <c r="Q83" s="356">
        <f>VLOOKUP(P83,Apoio!C:E,2,0)</f>
        <v>204010</v>
      </c>
      <c r="R83" s="355">
        <v>240000</v>
      </c>
      <c r="S83" s="216">
        <v>5</v>
      </c>
    </row>
    <row r="84" spans="15:88" ht="12.75" customHeight="1" thickBot="1" x14ac:dyDescent="0.25">
      <c r="O84" s="37">
        <v>69</v>
      </c>
      <c r="P84" s="353" t="s">
        <v>387</v>
      </c>
      <c r="Q84" s="356">
        <f>VLOOKUP(P84,Apoio!C:E,2,0)</f>
        <v>215100</v>
      </c>
      <c r="R84" s="355">
        <v>223000</v>
      </c>
      <c r="S84" s="216">
        <v>5</v>
      </c>
    </row>
    <row r="85" spans="15:88" ht="12.75" customHeight="1" thickBot="1" x14ac:dyDescent="0.25">
      <c r="O85" s="39">
        <v>70</v>
      </c>
      <c r="P85" s="353" t="s">
        <v>388</v>
      </c>
      <c r="Q85" s="356">
        <f>VLOOKUP(P85,Apoio!C:E,2,0)</f>
        <v>213230</v>
      </c>
      <c r="R85" s="355">
        <v>240000</v>
      </c>
      <c r="S85" s="216">
        <v>5</v>
      </c>
    </row>
    <row r="86" spans="15:88" ht="12.75" customHeight="1" thickBot="1" x14ac:dyDescent="0.25">
      <c r="O86" s="37">
        <v>71</v>
      </c>
      <c r="P86" s="353" t="s">
        <v>323</v>
      </c>
      <c r="Q86" s="356">
        <f>VLOOKUP(P86,Apoio!C:E,2,0)</f>
        <v>219480</v>
      </c>
      <c r="R86" s="355">
        <v>240000</v>
      </c>
      <c r="S86" s="216">
        <v>5</v>
      </c>
    </row>
    <row r="87" spans="15:88" ht="12.75" customHeight="1" thickBot="1" x14ac:dyDescent="0.25">
      <c r="O87" s="39">
        <v>72</v>
      </c>
      <c r="P87" s="353" t="s">
        <v>324</v>
      </c>
      <c r="Q87" s="356">
        <f>VLOOKUP(P87,Apoio!C:E,2,0)</f>
        <v>212210</v>
      </c>
      <c r="R87" s="355">
        <v>240000</v>
      </c>
      <c r="S87" s="216">
        <v>5</v>
      </c>
    </row>
    <row r="88" spans="15:88" ht="12.75" customHeight="1" thickBot="1" x14ac:dyDescent="0.25">
      <c r="O88" s="37">
        <v>73</v>
      </c>
      <c r="P88" s="353" t="s">
        <v>325</v>
      </c>
      <c r="Q88" s="356">
        <f>VLOOKUP(P88,Apoio!C:E,2,0)</f>
        <v>211270</v>
      </c>
      <c r="R88" s="355">
        <v>240000</v>
      </c>
      <c r="S88" s="216">
        <v>5</v>
      </c>
    </row>
    <row r="89" spans="15:88" ht="12.75" customHeight="1" thickBot="1" x14ac:dyDescent="0.25">
      <c r="O89" s="39">
        <v>74</v>
      </c>
      <c r="P89" s="353" t="s">
        <v>326</v>
      </c>
      <c r="Q89" s="356">
        <f>VLOOKUP(P89,Apoio!C:E,2,0)</f>
        <v>212940</v>
      </c>
      <c r="R89" s="355">
        <v>240000</v>
      </c>
      <c r="S89" s="216">
        <v>5</v>
      </c>
    </row>
    <row r="90" spans="15:88" ht="12.75" customHeight="1" thickBot="1" x14ac:dyDescent="0.25">
      <c r="O90" s="37">
        <v>75</v>
      </c>
      <c r="P90" s="353" t="s">
        <v>327</v>
      </c>
      <c r="Q90" s="356">
        <f>VLOOKUP(P90,Apoio!C:E,2,0)</f>
        <v>210070</v>
      </c>
      <c r="R90" s="355">
        <v>240000</v>
      </c>
      <c r="S90" s="216">
        <v>5</v>
      </c>
    </row>
    <row r="91" spans="15:88" ht="12.75" customHeight="1" thickBot="1" x14ac:dyDescent="0.25">
      <c r="O91" s="39">
        <v>76</v>
      </c>
      <c r="P91" s="353" t="s">
        <v>328</v>
      </c>
      <c r="Q91" s="356">
        <f>VLOOKUP(P91,Apoio!C:E,2,0)</f>
        <v>222870</v>
      </c>
      <c r="R91" s="355">
        <v>240000</v>
      </c>
      <c r="S91" s="216">
        <v>5</v>
      </c>
    </row>
    <row r="92" spans="15:88" ht="12.75" customHeight="1" thickBot="1" x14ac:dyDescent="0.25">
      <c r="O92" s="37">
        <v>77</v>
      </c>
      <c r="P92" s="353" t="s">
        <v>329</v>
      </c>
      <c r="Q92" s="356">
        <f>VLOOKUP(P92,Apoio!C:E,2,0)</f>
        <v>219480</v>
      </c>
      <c r="R92" s="355">
        <v>223000</v>
      </c>
      <c r="S92" s="216">
        <v>5</v>
      </c>
    </row>
    <row r="93" spans="15:88" ht="12.75" customHeight="1" thickBot="1" x14ac:dyDescent="0.25">
      <c r="O93" s="39">
        <v>78</v>
      </c>
      <c r="P93" s="353" t="s">
        <v>330</v>
      </c>
      <c r="Q93" s="356">
        <f>VLOOKUP(P93,Apoio!C:E,2,0)</f>
        <v>219430</v>
      </c>
      <c r="R93" s="355">
        <v>240000</v>
      </c>
      <c r="S93" s="216">
        <v>5</v>
      </c>
    </row>
    <row r="94" spans="15:88" ht="12.75" customHeight="1" thickBot="1" x14ac:dyDescent="0.25">
      <c r="O94" s="37">
        <v>79</v>
      </c>
      <c r="P94" s="353" t="s">
        <v>331</v>
      </c>
      <c r="Q94" s="356">
        <f>VLOOKUP(P94,Apoio!C:E,2,0)</f>
        <v>219480</v>
      </c>
      <c r="R94" s="355">
        <v>240000</v>
      </c>
      <c r="S94" s="216">
        <v>5</v>
      </c>
    </row>
    <row r="95" spans="15:88" ht="12.75" customHeight="1" thickBot="1" x14ac:dyDescent="0.25">
      <c r="O95" s="39">
        <v>80</v>
      </c>
      <c r="P95" s="353" t="s">
        <v>332</v>
      </c>
      <c r="Q95" s="356">
        <f>VLOOKUP(P95,Apoio!C:E,2,0)</f>
        <v>212210</v>
      </c>
      <c r="R95" s="355">
        <v>240000</v>
      </c>
      <c r="S95" s="216">
        <v>5</v>
      </c>
    </row>
    <row r="96" spans="15:88" ht="12.75" customHeight="1" thickBot="1" x14ac:dyDescent="0.25">
      <c r="O96" s="37">
        <v>81</v>
      </c>
      <c r="P96" s="353" t="s">
        <v>333</v>
      </c>
      <c r="Q96" s="356">
        <f>VLOOKUP(P96,Apoio!C:E,2,0)</f>
        <v>211270</v>
      </c>
      <c r="R96" s="355">
        <v>240000</v>
      </c>
      <c r="S96" s="216">
        <v>5</v>
      </c>
    </row>
    <row r="97" spans="15:19" ht="12.75" customHeight="1" thickBot="1" x14ac:dyDescent="0.25">
      <c r="O97" s="39">
        <v>82</v>
      </c>
      <c r="P97" s="353" t="s">
        <v>334</v>
      </c>
      <c r="Q97" s="356">
        <f>VLOOKUP(P97,Apoio!C:E,2,0)</f>
        <v>212940</v>
      </c>
      <c r="R97" s="355">
        <v>240000</v>
      </c>
      <c r="S97" s="216">
        <v>5</v>
      </c>
    </row>
    <row r="98" spans="15:19" ht="12.75" customHeight="1" thickBot="1" x14ac:dyDescent="0.25">
      <c r="O98" s="37">
        <v>83</v>
      </c>
      <c r="P98" s="353" t="s">
        <v>335</v>
      </c>
      <c r="Q98" s="356">
        <f>VLOOKUP(P98,Apoio!C:E,2,0)</f>
        <v>212160</v>
      </c>
      <c r="R98" s="355">
        <v>240000</v>
      </c>
      <c r="S98" s="216">
        <v>5</v>
      </c>
    </row>
    <row r="99" spans="15:19" ht="12.75" customHeight="1" thickBot="1" x14ac:dyDescent="0.25">
      <c r="O99" s="39">
        <v>84</v>
      </c>
      <c r="P99" s="353" t="s">
        <v>336</v>
      </c>
      <c r="Q99" s="356">
        <f>VLOOKUP(P99,Apoio!C:E,2,0)</f>
        <v>222870</v>
      </c>
      <c r="R99" s="355">
        <v>240000</v>
      </c>
      <c r="S99" s="216">
        <v>5</v>
      </c>
    </row>
    <row r="100" spans="15:19" ht="12.75" customHeight="1" thickBot="1" x14ac:dyDescent="0.25">
      <c r="O100" s="37">
        <v>85</v>
      </c>
      <c r="P100" s="353" t="s">
        <v>337</v>
      </c>
      <c r="Q100" s="356">
        <f>VLOOKUP(P100,Apoio!C:E,2,0)</f>
        <v>219480</v>
      </c>
      <c r="R100" s="355">
        <v>223000</v>
      </c>
      <c r="S100" s="216">
        <v>5</v>
      </c>
    </row>
    <row r="101" spans="15:19" ht="12.75" customHeight="1" thickBot="1" x14ac:dyDescent="0.25">
      <c r="O101" s="39">
        <v>86</v>
      </c>
      <c r="P101" s="353" t="s">
        <v>338</v>
      </c>
      <c r="Q101" s="356">
        <f>VLOOKUP(P101,Apoio!C:E,2,0)</f>
        <v>219430</v>
      </c>
      <c r="R101" s="355">
        <v>240000</v>
      </c>
      <c r="S101" s="216">
        <v>5</v>
      </c>
    </row>
    <row r="102" spans="15:19" ht="12.75" customHeight="1" thickBot="1" x14ac:dyDescent="0.25">
      <c r="O102" s="37">
        <v>87</v>
      </c>
      <c r="P102" s="353" t="s">
        <v>339</v>
      </c>
      <c r="Q102" s="356">
        <f>VLOOKUP(P102,Apoio!C:E,2,0)</f>
        <v>220730</v>
      </c>
      <c r="R102" s="355">
        <v>240000</v>
      </c>
      <c r="S102" s="216">
        <v>5</v>
      </c>
    </row>
    <row r="103" spans="15:19" ht="12.75" customHeight="1" thickBot="1" x14ac:dyDescent="0.25">
      <c r="O103" s="39">
        <v>88</v>
      </c>
      <c r="P103" s="353" t="s">
        <v>340</v>
      </c>
      <c r="Q103" s="356">
        <f>VLOOKUP(P103,Apoio!C:E,2,0)</f>
        <v>213410</v>
      </c>
      <c r="R103" s="355">
        <v>240000</v>
      </c>
      <c r="S103" s="216">
        <v>5</v>
      </c>
    </row>
    <row r="104" spans="15:19" ht="12.75" customHeight="1" thickBot="1" x14ac:dyDescent="0.25">
      <c r="O104" s="37">
        <v>89</v>
      </c>
      <c r="P104" s="353" t="s">
        <v>341</v>
      </c>
      <c r="Q104" s="356">
        <f>VLOOKUP(P104,Apoio!C:E,2,0)</f>
        <v>212480</v>
      </c>
      <c r="R104" s="355">
        <v>240000</v>
      </c>
      <c r="S104" s="216">
        <v>5</v>
      </c>
    </row>
    <row r="105" spans="15:19" ht="12.75" customHeight="1" thickBot="1" x14ac:dyDescent="0.25">
      <c r="O105" s="39">
        <v>90</v>
      </c>
      <c r="P105" s="353" t="s">
        <v>342</v>
      </c>
      <c r="Q105" s="356">
        <f>VLOOKUP(P105,Apoio!C:E,2,0)</f>
        <v>212070</v>
      </c>
      <c r="R105" s="355">
        <v>240000</v>
      </c>
      <c r="S105" s="216">
        <v>5</v>
      </c>
    </row>
    <row r="106" spans="15:19" ht="12.75" customHeight="1" thickBot="1" x14ac:dyDescent="0.25">
      <c r="O106" s="37">
        <v>91</v>
      </c>
      <c r="P106" s="353" t="s">
        <v>343</v>
      </c>
      <c r="Q106" s="356">
        <f>VLOOKUP(P106,Apoio!C:E,2,0)</f>
        <v>213370</v>
      </c>
      <c r="R106" s="355">
        <v>240000</v>
      </c>
      <c r="S106" s="216">
        <v>5</v>
      </c>
    </row>
    <row r="107" spans="15:19" ht="12.75" customHeight="1" thickBot="1" x14ac:dyDescent="0.25">
      <c r="O107" s="39">
        <v>92</v>
      </c>
      <c r="P107" s="353" t="s">
        <v>344</v>
      </c>
      <c r="Q107" s="356">
        <f>VLOOKUP(P107,Apoio!C:E,2,0)</f>
        <v>224000</v>
      </c>
      <c r="R107" s="355">
        <v>240000</v>
      </c>
      <c r="S107" s="216">
        <v>5</v>
      </c>
    </row>
    <row r="108" spans="15:19" ht="12.75" customHeight="1" thickBot="1" x14ac:dyDescent="0.25">
      <c r="O108" s="37">
        <v>93</v>
      </c>
      <c r="P108" s="353" t="s">
        <v>345</v>
      </c>
      <c r="Q108" s="356">
        <f>VLOOKUP(P108,Apoio!C:E,2,0)</f>
        <v>220730</v>
      </c>
      <c r="R108" s="355">
        <v>223000</v>
      </c>
      <c r="S108" s="216">
        <v>5</v>
      </c>
    </row>
    <row r="109" spans="15:19" ht="12.75" customHeight="1" thickBot="1" x14ac:dyDescent="0.25">
      <c r="O109" s="39">
        <v>94</v>
      </c>
      <c r="P109" s="353" t="s">
        <v>346</v>
      </c>
      <c r="Q109" s="356">
        <f>VLOOKUP(P109,Apoio!C:E,2,0)</f>
        <v>220680</v>
      </c>
      <c r="R109" s="355">
        <v>240000</v>
      </c>
      <c r="S109" s="216">
        <v>5</v>
      </c>
    </row>
    <row r="110" spans="15:19" ht="12.75" customHeight="1" thickBot="1" x14ac:dyDescent="0.25">
      <c r="O110" s="37">
        <v>95</v>
      </c>
      <c r="P110" s="353" t="s">
        <v>347</v>
      </c>
      <c r="Q110" s="356">
        <f>VLOOKUP(P110,Apoio!C:E,2,0)</f>
        <v>218640</v>
      </c>
      <c r="R110" s="355">
        <v>240000</v>
      </c>
      <c r="S110" s="216">
        <v>5</v>
      </c>
    </row>
    <row r="111" spans="15:19" ht="12.75" customHeight="1" thickBot="1" x14ac:dyDescent="0.25">
      <c r="O111" s="39">
        <v>96</v>
      </c>
      <c r="P111" s="353" t="s">
        <v>348</v>
      </c>
      <c r="Q111" s="356">
        <f>VLOOKUP(P111,Apoio!C:E,2,0)</f>
        <v>213410</v>
      </c>
      <c r="R111" s="355">
        <v>240000</v>
      </c>
      <c r="S111" s="216">
        <v>5</v>
      </c>
    </row>
    <row r="112" spans="15:19" ht="12.75" customHeight="1" thickBot="1" x14ac:dyDescent="0.25">
      <c r="O112" s="37">
        <v>97</v>
      </c>
      <c r="P112" s="353" t="s">
        <v>349</v>
      </c>
      <c r="Q112" s="356">
        <f>VLOOKUP(P112,Apoio!C:E,2,0)</f>
        <v>212480</v>
      </c>
      <c r="R112" s="355">
        <v>240000</v>
      </c>
      <c r="S112" s="216">
        <v>5</v>
      </c>
    </row>
    <row r="113" spans="15:19" ht="12.75" customHeight="1" thickBot="1" x14ac:dyDescent="0.25">
      <c r="O113" s="39">
        <v>98</v>
      </c>
      <c r="P113" s="353" t="s">
        <v>350</v>
      </c>
      <c r="Q113" s="356">
        <f>VLOOKUP(P113,Apoio!C:E,2,0)</f>
        <v>212070</v>
      </c>
      <c r="R113" s="355">
        <v>240000</v>
      </c>
      <c r="S113" s="216">
        <v>5</v>
      </c>
    </row>
    <row r="114" spans="15:19" ht="12.75" customHeight="1" thickBot="1" x14ac:dyDescent="0.25">
      <c r="O114" s="37">
        <v>99</v>
      </c>
      <c r="P114" s="353" t="s">
        <v>351</v>
      </c>
      <c r="Q114" s="356">
        <f>VLOOKUP(P114,Apoio!C:E,2,0)</f>
        <v>213370</v>
      </c>
      <c r="R114" s="355">
        <v>240000</v>
      </c>
      <c r="S114" s="216">
        <v>5</v>
      </c>
    </row>
    <row r="115" spans="15:19" ht="12.75" customHeight="1" thickBot="1" x14ac:dyDescent="0.25">
      <c r="O115" s="39">
        <v>100</v>
      </c>
      <c r="P115" s="353" t="s">
        <v>352</v>
      </c>
      <c r="Q115" s="356">
        <f>VLOOKUP(P115,Apoio!C:E,2,0)</f>
        <v>224000</v>
      </c>
      <c r="R115" s="355">
        <v>240000</v>
      </c>
      <c r="S115" s="216">
        <v>5</v>
      </c>
    </row>
    <row r="116" spans="15:19" ht="12.75" customHeight="1" thickBot="1" x14ac:dyDescent="0.25">
      <c r="O116" s="37">
        <v>101</v>
      </c>
      <c r="P116" s="353" t="s">
        <v>353</v>
      </c>
      <c r="Q116" s="356">
        <f>VLOOKUP(P116,Apoio!C:E,2,0)</f>
        <v>218640</v>
      </c>
      <c r="R116" s="355">
        <v>223000</v>
      </c>
      <c r="S116" s="216">
        <v>5</v>
      </c>
    </row>
    <row r="117" spans="15:19" ht="12.75" customHeight="1" thickBot="1" x14ac:dyDescent="0.25">
      <c r="O117" s="39">
        <v>102</v>
      </c>
      <c r="P117" s="353" t="s">
        <v>354</v>
      </c>
      <c r="Q117" s="356">
        <f>VLOOKUP(P117,Apoio!C:E,2,0)</f>
        <v>218590</v>
      </c>
      <c r="R117" s="355">
        <v>240000</v>
      </c>
      <c r="S117" s="216">
        <v>5</v>
      </c>
    </row>
    <row r="118" spans="15:19" ht="12.75" customHeight="1" thickBot="1" x14ac:dyDescent="0.25">
      <c r="O118" s="37">
        <v>103</v>
      </c>
      <c r="P118" s="353" t="s">
        <v>355</v>
      </c>
      <c r="Q118" s="356">
        <f>VLOOKUP(P118,Apoio!C:E,2,0)</f>
        <v>221980</v>
      </c>
      <c r="R118" s="355">
        <v>240000</v>
      </c>
      <c r="S118" s="216">
        <v>5</v>
      </c>
    </row>
    <row r="119" spans="15:19" ht="12.75" customHeight="1" thickBot="1" x14ac:dyDescent="0.25">
      <c r="O119" s="39">
        <v>104</v>
      </c>
      <c r="P119" s="353" t="s">
        <v>356</v>
      </c>
      <c r="Q119" s="356">
        <f>VLOOKUP(P119,Apoio!C:E,2,0)</f>
        <v>214620</v>
      </c>
      <c r="R119" s="355">
        <v>240000</v>
      </c>
      <c r="S119" s="216">
        <v>5</v>
      </c>
    </row>
    <row r="120" spans="15:19" ht="12.75" customHeight="1" thickBot="1" x14ac:dyDescent="0.25">
      <c r="O120" s="37">
        <v>105</v>
      </c>
      <c r="P120" s="353" t="s">
        <v>357</v>
      </c>
      <c r="Q120" s="356">
        <f>VLOOKUP(P120,Apoio!C:E,2,0)</f>
        <v>213690</v>
      </c>
      <c r="R120" s="355">
        <v>240000</v>
      </c>
      <c r="S120" s="216">
        <v>5</v>
      </c>
    </row>
    <row r="121" spans="15:19" ht="12.75" customHeight="1" thickBot="1" x14ac:dyDescent="0.25">
      <c r="O121" s="39">
        <v>106</v>
      </c>
      <c r="P121" s="353" t="s">
        <v>358</v>
      </c>
      <c r="Q121" s="356">
        <f>VLOOKUP(P121,Apoio!C:E,2,0)</f>
        <v>215370</v>
      </c>
      <c r="R121" s="355">
        <v>240000</v>
      </c>
      <c r="S121" s="216">
        <v>5</v>
      </c>
    </row>
    <row r="122" spans="15:19" ht="12.75" customHeight="1" thickBot="1" x14ac:dyDescent="0.25">
      <c r="O122" s="37">
        <v>107</v>
      </c>
      <c r="P122" s="353" t="s">
        <v>359</v>
      </c>
      <c r="Q122" s="356">
        <f>VLOOKUP(P122,Apoio!C:E,2,0)</f>
        <v>214580</v>
      </c>
      <c r="R122" s="355">
        <v>240000</v>
      </c>
      <c r="S122" s="216">
        <v>5</v>
      </c>
    </row>
    <row r="123" spans="15:19" ht="12.75" customHeight="1" thickBot="1" x14ac:dyDescent="0.25">
      <c r="O123" s="39">
        <v>108</v>
      </c>
      <c r="P123" s="353" t="s">
        <v>360</v>
      </c>
      <c r="Q123" s="356">
        <f>VLOOKUP(P123,Apoio!C:E,2,0)</f>
        <v>225140</v>
      </c>
      <c r="R123" s="355">
        <v>240000</v>
      </c>
      <c r="S123" s="216">
        <v>5</v>
      </c>
    </row>
    <row r="124" spans="15:19" ht="12.75" customHeight="1" thickBot="1" x14ac:dyDescent="0.25">
      <c r="O124" s="37">
        <v>109</v>
      </c>
      <c r="P124" s="353" t="s">
        <v>361</v>
      </c>
      <c r="Q124" s="356">
        <f>VLOOKUP(P124,Apoio!C:E,2,0)</f>
        <v>219900</v>
      </c>
      <c r="R124" s="355">
        <v>223000</v>
      </c>
      <c r="S124" s="216">
        <v>5</v>
      </c>
    </row>
    <row r="125" spans="15:19" ht="12.75" customHeight="1" thickBot="1" x14ac:dyDescent="0.25">
      <c r="O125" s="39">
        <v>110</v>
      </c>
      <c r="P125" s="353" t="s">
        <v>362</v>
      </c>
      <c r="Q125" s="356">
        <f>VLOOKUP(P125,Apoio!C:E,2,0)</f>
        <v>221930</v>
      </c>
      <c r="R125" s="355">
        <v>240000</v>
      </c>
      <c r="S125" s="216">
        <v>5</v>
      </c>
    </row>
    <row r="126" spans="15:19" ht="12.75" customHeight="1" thickBot="1" x14ac:dyDescent="0.25">
      <c r="O126" s="37">
        <v>111</v>
      </c>
      <c r="P126" s="353" t="s">
        <v>363</v>
      </c>
      <c r="Q126" s="356">
        <f>VLOOKUP(P126,Apoio!C:E,2,0)</f>
        <v>219900</v>
      </c>
      <c r="R126" s="355">
        <v>240000</v>
      </c>
      <c r="S126" s="216">
        <v>5</v>
      </c>
    </row>
    <row r="127" spans="15:19" ht="12.75" customHeight="1" thickBot="1" x14ac:dyDescent="0.25">
      <c r="O127" s="39">
        <v>112</v>
      </c>
      <c r="P127" s="353" t="s">
        <v>364</v>
      </c>
      <c r="Q127" s="356">
        <f>VLOOKUP(P127,Apoio!C:E,2,0)</f>
        <v>214620</v>
      </c>
      <c r="R127" s="355">
        <v>240000</v>
      </c>
      <c r="S127" s="216">
        <v>5</v>
      </c>
    </row>
    <row r="128" spans="15:19" ht="12.75" customHeight="1" thickBot="1" x14ac:dyDescent="0.25">
      <c r="O128" s="37">
        <v>113</v>
      </c>
      <c r="P128" s="353" t="s">
        <v>365</v>
      </c>
      <c r="Q128" s="356">
        <f>VLOOKUP(P128,Apoio!C:E,2,0)</f>
        <v>213690</v>
      </c>
      <c r="R128" s="355">
        <v>240000</v>
      </c>
      <c r="S128" s="216">
        <v>5</v>
      </c>
    </row>
    <row r="129" spans="15:19" ht="12.75" customHeight="1" thickBot="1" x14ac:dyDescent="0.25">
      <c r="O129" s="39">
        <v>114</v>
      </c>
      <c r="P129" s="353" t="s">
        <v>366</v>
      </c>
      <c r="Q129" s="356">
        <f>VLOOKUP(P129,Apoio!C:E,2,0)</f>
        <v>215370</v>
      </c>
      <c r="R129" s="355">
        <v>240000</v>
      </c>
      <c r="S129" s="216">
        <v>5</v>
      </c>
    </row>
    <row r="130" spans="15:19" ht="12.75" customHeight="1" thickBot="1" x14ac:dyDescent="0.25">
      <c r="O130" s="37">
        <v>115</v>
      </c>
      <c r="P130" s="353" t="s">
        <v>367</v>
      </c>
      <c r="Q130" s="356">
        <f>VLOOKUP(P130,Apoio!C:E,2,0)</f>
        <v>214580</v>
      </c>
      <c r="R130" s="355">
        <v>240000</v>
      </c>
      <c r="S130" s="216">
        <v>5</v>
      </c>
    </row>
    <row r="131" spans="15:19" ht="12.75" customHeight="1" thickBot="1" x14ac:dyDescent="0.25">
      <c r="O131" s="39">
        <v>116</v>
      </c>
      <c r="P131" s="353" t="s">
        <v>368</v>
      </c>
      <c r="Q131" s="356">
        <f>VLOOKUP(P131,Apoio!C:E,2,0)</f>
        <v>225140</v>
      </c>
      <c r="R131" s="355">
        <v>240000</v>
      </c>
      <c r="S131" s="216">
        <v>5</v>
      </c>
    </row>
    <row r="132" spans="15:19" ht="12.75" customHeight="1" thickBot="1" x14ac:dyDescent="0.25">
      <c r="O132" s="37">
        <v>117</v>
      </c>
      <c r="P132" s="353" t="s">
        <v>369</v>
      </c>
      <c r="Q132" s="356">
        <f>VLOOKUP(P132,Apoio!C:E,2,0)</f>
        <v>219900</v>
      </c>
      <c r="R132" s="355">
        <v>223000</v>
      </c>
      <c r="S132" s="216">
        <v>5</v>
      </c>
    </row>
    <row r="133" spans="15:19" ht="12.75" customHeight="1" thickBot="1" x14ac:dyDescent="0.25">
      <c r="O133" s="39">
        <v>118</v>
      </c>
      <c r="P133" s="353" t="s">
        <v>370</v>
      </c>
      <c r="Q133" s="356">
        <f>VLOOKUP(P133,Apoio!C:E,2,0)</f>
        <v>221930</v>
      </c>
      <c r="R133" s="355">
        <v>240000</v>
      </c>
      <c r="S133" s="216">
        <v>5</v>
      </c>
    </row>
    <row r="134" spans="15:19" ht="12.75" customHeight="1" thickBot="1" x14ac:dyDescent="0.25">
      <c r="O134" s="37">
        <v>119</v>
      </c>
      <c r="P134" s="353" t="s">
        <v>371</v>
      </c>
      <c r="Q134" s="356">
        <f>VLOOKUP(P134,Apoio!C:E,2,0)</f>
        <v>246740</v>
      </c>
      <c r="R134" s="355">
        <v>240000</v>
      </c>
      <c r="S134" s="216">
        <v>5</v>
      </c>
    </row>
    <row r="135" spans="15:19" ht="12.75" customHeight="1" thickBot="1" x14ac:dyDescent="0.25">
      <c r="O135" s="39">
        <v>120</v>
      </c>
      <c r="P135" s="353" t="s">
        <v>372</v>
      </c>
      <c r="Q135" s="356">
        <f>VLOOKUP(P135,Apoio!C:E,2,0)</f>
        <v>241440</v>
      </c>
      <c r="R135" s="355">
        <v>240000</v>
      </c>
      <c r="S135" s="216">
        <v>5</v>
      </c>
    </row>
    <row r="136" spans="15:19" ht="12.75" customHeight="1" thickBot="1" x14ac:dyDescent="0.25">
      <c r="O136" s="37">
        <v>121</v>
      </c>
      <c r="P136" s="353" t="s">
        <v>373</v>
      </c>
      <c r="Q136" s="356">
        <f>VLOOKUP(P136,Apoio!C:E,2,0)</f>
        <v>240500</v>
      </c>
      <c r="R136" s="355">
        <v>240000</v>
      </c>
      <c r="S136" s="216">
        <v>5</v>
      </c>
    </row>
    <row r="137" spans="15:19" ht="12.75" customHeight="1" thickBot="1" x14ac:dyDescent="0.25">
      <c r="O137" s="39">
        <v>122</v>
      </c>
      <c r="P137" s="353" t="s">
        <v>374</v>
      </c>
      <c r="Q137" s="356">
        <f>VLOOKUP(P137,Apoio!C:E,2,0)</f>
        <v>242180</v>
      </c>
      <c r="R137" s="355">
        <v>240000</v>
      </c>
      <c r="S137" s="216">
        <v>5</v>
      </c>
    </row>
    <row r="138" spans="15:19" ht="12.75" customHeight="1" thickBot="1" x14ac:dyDescent="0.25">
      <c r="O138" s="37">
        <v>123</v>
      </c>
      <c r="P138" s="353" t="s">
        <v>375</v>
      </c>
      <c r="Q138" s="356">
        <f>VLOOKUP(P138,Apoio!C:E,2,0)</f>
        <v>239310</v>
      </c>
      <c r="R138" s="355">
        <v>240000</v>
      </c>
      <c r="S138" s="216">
        <v>5</v>
      </c>
    </row>
    <row r="139" spans="15:19" ht="12.75" customHeight="1" thickBot="1" x14ac:dyDescent="0.25">
      <c r="O139" s="39">
        <v>124</v>
      </c>
      <c r="P139" s="353" t="s">
        <v>376</v>
      </c>
      <c r="Q139" s="356">
        <f>VLOOKUP(P139,Apoio!C:E,2,0)</f>
        <v>226270</v>
      </c>
      <c r="R139" s="355">
        <v>240000</v>
      </c>
      <c r="S139" s="216">
        <v>5</v>
      </c>
    </row>
    <row r="140" spans="15:19" ht="12.75" customHeight="1" thickBot="1" x14ac:dyDescent="0.25">
      <c r="O140" s="37">
        <v>125</v>
      </c>
      <c r="P140" s="353" t="s">
        <v>377</v>
      </c>
      <c r="Q140" s="356">
        <f>VLOOKUP(P140,Apoio!C:E,2,0)</f>
        <v>248795</v>
      </c>
      <c r="R140" s="355">
        <v>223000</v>
      </c>
      <c r="S140" s="216">
        <v>5</v>
      </c>
    </row>
    <row r="141" spans="15:19" ht="12.75" customHeight="1" thickBot="1" x14ac:dyDescent="0.25">
      <c r="O141" s="39">
        <v>126</v>
      </c>
      <c r="P141" s="353" t="s">
        <v>378</v>
      </c>
      <c r="Q141" s="356">
        <f>VLOOKUP(P141,Apoio!C:E,2,0)</f>
        <v>246690</v>
      </c>
      <c r="R141" s="355">
        <v>240000</v>
      </c>
      <c r="S141" s="216">
        <v>5</v>
      </c>
    </row>
    <row r="142" spans="15:19" ht="12.75" customHeight="1" thickBot="1" x14ac:dyDescent="0.25">
      <c r="O142" s="37">
        <v>127</v>
      </c>
      <c r="P142" s="353"/>
      <c r="Q142" s="356"/>
      <c r="R142" s="354">
        <v>240000</v>
      </c>
      <c r="S142" s="216">
        <v>5</v>
      </c>
    </row>
    <row r="143" spans="15:19" ht="12.75" customHeight="1" thickBot="1" x14ac:dyDescent="0.25">
      <c r="O143" s="39">
        <v>128</v>
      </c>
      <c r="P143" s="353"/>
      <c r="Q143" s="356"/>
      <c r="R143" s="354"/>
      <c r="S143" s="216">
        <v>5</v>
      </c>
    </row>
    <row r="144" spans="15:19" ht="12.75" customHeight="1" thickBot="1" x14ac:dyDescent="0.25">
      <c r="O144" s="37">
        <v>129</v>
      </c>
      <c r="P144" s="353"/>
      <c r="Q144" s="356"/>
      <c r="R144" s="354"/>
      <c r="S144" s="216">
        <v>5</v>
      </c>
    </row>
    <row r="145" spans="15:19" ht="12.75" customHeight="1" thickBot="1" x14ac:dyDescent="0.25">
      <c r="O145" s="39">
        <v>130</v>
      </c>
      <c r="P145" s="353"/>
      <c r="Q145" s="356"/>
      <c r="R145" s="354"/>
      <c r="S145" s="216">
        <v>5</v>
      </c>
    </row>
    <row r="146" spans="15:19" ht="12.75" customHeight="1" thickBot="1" x14ac:dyDescent="0.25">
      <c r="O146" s="37">
        <v>131</v>
      </c>
      <c r="P146" s="353"/>
      <c r="Q146" s="356"/>
      <c r="R146" s="354"/>
      <c r="S146" s="216">
        <v>5</v>
      </c>
    </row>
    <row r="147" spans="15:19" ht="12.75" customHeight="1" thickBot="1" x14ac:dyDescent="0.25">
      <c r="O147" s="39">
        <v>132</v>
      </c>
      <c r="P147" s="353"/>
      <c r="Q147" s="356"/>
      <c r="R147" s="354"/>
      <c r="S147" s="216">
        <v>5</v>
      </c>
    </row>
    <row r="148" spans="15:19" ht="12.75" customHeight="1" thickBot="1" x14ac:dyDescent="0.25">
      <c r="O148" s="37">
        <v>133</v>
      </c>
      <c r="P148" s="353"/>
      <c r="Q148" s="356"/>
      <c r="R148" s="354"/>
      <c r="S148" s="216">
        <v>5</v>
      </c>
    </row>
    <row r="149" spans="15:19" ht="12.75" customHeight="1" thickBot="1" x14ac:dyDescent="0.25">
      <c r="O149" s="39">
        <v>134</v>
      </c>
      <c r="P149" s="353"/>
      <c r="Q149" s="356"/>
      <c r="R149" s="354"/>
      <c r="S149" s="216">
        <v>5</v>
      </c>
    </row>
    <row r="150" spans="15:19" ht="12.75" customHeight="1" thickBot="1" x14ac:dyDescent="0.25">
      <c r="O150" s="37">
        <v>135</v>
      </c>
      <c r="P150" s="353"/>
      <c r="Q150" s="356"/>
      <c r="R150" s="354"/>
      <c r="S150" s="216">
        <v>5</v>
      </c>
    </row>
    <row r="151" spans="15:19" ht="12.75" customHeight="1" thickBot="1" x14ac:dyDescent="0.25">
      <c r="O151" s="39">
        <v>136</v>
      </c>
      <c r="P151" s="353"/>
      <c r="Q151" s="356"/>
      <c r="R151" s="354"/>
      <c r="S151" s="216">
        <v>5</v>
      </c>
    </row>
    <row r="152" spans="15:19" ht="12.75" customHeight="1" thickBot="1" x14ac:dyDescent="0.25">
      <c r="O152" s="37">
        <v>137</v>
      </c>
      <c r="P152" s="353"/>
      <c r="Q152" s="356"/>
      <c r="R152" s="354"/>
      <c r="S152" s="216">
        <v>5</v>
      </c>
    </row>
    <row r="153" spans="15:19" ht="12.75" customHeight="1" thickBot="1" x14ac:dyDescent="0.25">
      <c r="O153" s="39">
        <v>138</v>
      </c>
      <c r="P153" s="353"/>
      <c r="Q153" s="356"/>
      <c r="R153" s="354"/>
      <c r="S153" s="216">
        <v>5</v>
      </c>
    </row>
    <row r="154" spans="15:19" ht="12.75" customHeight="1" thickBot="1" x14ac:dyDescent="0.25">
      <c r="O154" s="37">
        <v>139</v>
      </c>
      <c r="P154" s="353"/>
      <c r="Q154" s="356"/>
      <c r="R154" s="354"/>
      <c r="S154" s="216">
        <v>5</v>
      </c>
    </row>
    <row r="155" spans="15:19" ht="12.75" customHeight="1" thickBot="1" x14ac:dyDescent="0.25">
      <c r="O155" s="39">
        <v>140</v>
      </c>
      <c r="P155" s="353"/>
      <c r="Q155" s="356"/>
      <c r="R155" s="354"/>
      <c r="S155" s="216">
        <v>5</v>
      </c>
    </row>
    <row r="156" spans="15:19" ht="12.75" customHeight="1" thickBot="1" x14ac:dyDescent="0.25">
      <c r="O156" s="37">
        <v>141</v>
      </c>
      <c r="P156" s="353"/>
      <c r="Q156" s="356"/>
      <c r="R156" s="354"/>
      <c r="S156" s="216">
        <v>5</v>
      </c>
    </row>
    <row r="157" spans="15:19" ht="12.75" customHeight="1" thickBot="1" x14ac:dyDescent="0.25">
      <c r="O157" s="39">
        <v>142</v>
      </c>
      <c r="P157" s="353"/>
      <c r="Q157" s="356"/>
      <c r="R157" s="354"/>
      <c r="S157" s="216">
        <v>5</v>
      </c>
    </row>
    <row r="158" spans="15:19" ht="12.75" customHeight="1" thickBot="1" x14ac:dyDescent="0.25">
      <c r="O158" s="37">
        <v>143</v>
      </c>
      <c r="P158" s="353"/>
      <c r="Q158" s="356"/>
      <c r="R158" s="354"/>
      <c r="S158" s="216">
        <v>5</v>
      </c>
    </row>
    <row r="159" spans="15:19" ht="12.75" customHeight="1" thickBot="1" x14ac:dyDescent="0.25">
      <c r="O159" s="39">
        <v>144</v>
      </c>
      <c r="P159" s="353"/>
      <c r="Q159" s="356"/>
      <c r="R159" s="354"/>
      <c r="S159" s="216">
        <v>5</v>
      </c>
    </row>
    <row r="160" spans="15:19" ht="12.75" customHeight="1" thickBot="1" x14ac:dyDescent="0.25">
      <c r="O160" s="37">
        <v>145</v>
      </c>
      <c r="P160" s="353"/>
      <c r="Q160" s="356"/>
      <c r="R160" s="354"/>
      <c r="S160" s="216">
        <v>5</v>
      </c>
    </row>
    <row r="161" spans="15:19" ht="12.75" customHeight="1" thickBot="1" x14ac:dyDescent="0.25">
      <c r="O161" s="39">
        <v>146</v>
      </c>
      <c r="P161" s="353"/>
      <c r="Q161" s="356"/>
      <c r="R161" s="354"/>
      <c r="S161" s="216">
        <v>5</v>
      </c>
    </row>
    <row r="162" spans="15:19" ht="12.75" customHeight="1" thickBot="1" x14ac:dyDescent="0.25">
      <c r="O162" s="37">
        <v>147</v>
      </c>
      <c r="P162" s="353"/>
      <c r="Q162" s="356"/>
      <c r="R162" s="354"/>
      <c r="S162" s="216">
        <v>5</v>
      </c>
    </row>
    <row r="163" spans="15:19" ht="12.75" customHeight="1" thickBot="1" x14ac:dyDescent="0.25">
      <c r="O163" s="39">
        <v>148</v>
      </c>
      <c r="P163" s="353"/>
      <c r="Q163" s="356"/>
      <c r="R163" s="354"/>
      <c r="S163" s="216">
        <v>5</v>
      </c>
    </row>
    <row r="164" spans="15:19" ht="12.75" customHeight="1" thickBot="1" x14ac:dyDescent="0.25">
      <c r="O164" s="37">
        <v>149</v>
      </c>
      <c r="P164" s="353"/>
      <c r="Q164" s="356"/>
      <c r="R164" s="354"/>
      <c r="S164" s="216">
        <v>5</v>
      </c>
    </row>
    <row r="165" spans="15:19" ht="12.75" customHeight="1" thickBot="1" x14ac:dyDescent="0.25">
      <c r="O165" s="39">
        <v>150</v>
      </c>
      <c r="P165" s="353"/>
      <c r="Q165" s="356"/>
      <c r="R165" s="354"/>
      <c r="S165" s="216">
        <v>5</v>
      </c>
    </row>
    <row r="166" spans="15:19" ht="12.75" customHeight="1" thickBot="1" x14ac:dyDescent="0.25">
      <c r="O166" s="37">
        <v>151</v>
      </c>
      <c r="P166" s="353"/>
      <c r="Q166" s="356"/>
      <c r="R166" s="354"/>
      <c r="S166" s="216">
        <v>5</v>
      </c>
    </row>
    <row r="167" spans="15:19" ht="12.75" customHeight="1" thickBot="1" x14ac:dyDescent="0.25">
      <c r="O167" s="39">
        <v>152</v>
      </c>
      <c r="P167" s="353"/>
      <c r="Q167" s="356"/>
      <c r="R167" s="354"/>
      <c r="S167" s="216">
        <v>5</v>
      </c>
    </row>
    <row r="168" spans="15:19" ht="12.75" customHeight="1" thickBot="1" x14ac:dyDescent="0.25">
      <c r="O168" s="37">
        <v>153</v>
      </c>
      <c r="P168" s="353"/>
      <c r="Q168" s="356"/>
      <c r="R168" s="354"/>
      <c r="S168" s="216">
        <v>5</v>
      </c>
    </row>
    <row r="169" spans="15:19" ht="12.75" customHeight="1" thickBot="1" x14ac:dyDescent="0.25">
      <c r="O169" s="39">
        <v>154</v>
      </c>
      <c r="P169" s="353"/>
      <c r="Q169" s="356"/>
      <c r="R169" s="354"/>
      <c r="S169" s="216">
        <v>5</v>
      </c>
    </row>
    <row r="170" spans="15:19" ht="12.75" customHeight="1" thickBot="1" x14ac:dyDescent="0.25">
      <c r="O170" s="37">
        <v>155</v>
      </c>
      <c r="P170" s="353"/>
      <c r="Q170" s="356"/>
      <c r="R170" s="354"/>
      <c r="S170" s="216">
        <v>5</v>
      </c>
    </row>
    <row r="171" spans="15:19" ht="12.75" customHeight="1" thickBot="1" x14ac:dyDescent="0.25">
      <c r="O171" s="39">
        <v>156</v>
      </c>
      <c r="P171" s="353"/>
      <c r="Q171" s="356"/>
      <c r="R171" s="354"/>
      <c r="S171" s="216">
        <v>5</v>
      </c>
    </row>
    <row r="172" spans="15:19" ht="12.75" customHeight="1" thickBot="1" x14ac:dyDescent="0.25">
      <c r="O172" s="37">
        <v>157</v>
      </c>
      <c r="P172" s="353"/>
      <c r="Q172" s="356"/>
      <c r="R172" s="354"/>
      <c r="S172" s="216">
        <v>5</v>
      </c>
    </row>
    <row r="173" spans="15:19" ht="12.75" customHeight="1" thickBot="1" x14ac:dyDescent="0.25">
      <c r="O173" s="39">
        <v>158</v>
      </c>
      <c r="P173" s="353"/>
      <c r="Q173" s="356"/>
      <c r="R173" s="354"/>
      <c r="S173" s="216">
        <v>5</v>
      </c>
    </row>
    <row r="174" spans="15:19" ht="12.75" customHeight="1" thickBot="1" x14ac:dyDescent="0.25">
      <c r="O174" s="37">
        <v>159</v>
      </c>
      <c r="P174" s="353"/>
      <c r="Q174" s="356"/>
      <c r="R174" s="354"/>
      <c r="S174" s="216">
        <v>5</v>
      </c>
    </row>
    <row r="175" spans="15:19" ht="12.75" customHeight="1" thickBot="1" x14ac:dyDescent="0.25">
      <c r="O175" s="39">
        <v>160</v>
      </c>
      <c r="P175" s="353"/>
      <c r="Q175" s="356"/>
      <c r="R175" s="354"/>
      <c r="S175" s="216">
        <v>5</v>
      </c>
    </row>
    <row r="176" spans="15:19" ht="12.75" customHeight="1" thickBot="1" x14ac:dyDescent="0.25">
      <c r="O176" s="37">
        <v>161</v>
      </c>
      <c r="P176" s="353"/>
      <c r="Q176" s="356"/>
      <c r="R176" s="354"/>
      <c r="S176" s="216">
        <v>5</v>
      </c>
    </row>
    <row r="177" spans="15:27" ht="12.75" customHeight="1" thickBot="1" x14ac:dyDescent="0.25">
      <c r="O177" s="39">
        <v>162</v>
      </c>
      <c r="P177" s="353"/>
      <c r="Q177" s="356"/>
      <c r="R177" s="354"/>
      <c r="S177" s="216">
        <v>5</v>
      </c>
    </row>
    <row r="178" spans="15:27" ht="13.5" thickBot="1" x14ac:dyDescent="0.25">
      <c r="O178" s="37">
        <v>163</v>
      </c>
      <c r="P178" s="353"/>
      <c r="Q178" s="356"/>
      <c r="R178" s="354"/>
      <c r="S178" s="216">
        <v>5</v>
      </c>
      <c r="U178" s="225"/>
      <c r="V178" s="214"/>
      <c r="Z178" s="225"/>
      <c r="AA178" s="332"/>
    </row>
    <row r="179" spans="15:27" ht="13.5" thickBot="1" x14ac:dyDescent="0.25">
      <c r="O179" s="39">
        <v>164</v>
      </c>
      <c r="P179" s="353"/>
      <c r="Q179" s="356"/>
      <c r="R179" s="354"/>
      <c r="S179" s="216">
        <v>5</v>
      </c>
      <c r="U179" s="225"/>
      <c r="V179" s="214"/>
      <c r="Z179" s="225"/>
      <c r="AA179" s="332"/>
    </row>
    <row r="180" spans="15:27" ht="13.5" thickBot="1" x14ac:dyDescent="0.25">
      <c r="O180" s="37">
        <v>165</v>
      </c>
      <c r="P180" s="353"/>
      <c r="Q180" s="356"/>
      <c r="R180" s="354"/>
      <c r="S180" s="216">
        <v>5</v>
      </c>
      <c r="U180" s="225"/>
      <c r="V180" s="214"/>
      <c r="Z180" s="225"/>
      <c r="AA180" s="332"/>
    </row>
    <row r="181" spans="15:27" ht="13.5" thickBot="1" x14ac:dyDescent="0.25">
      <c r="O181" s="39">
        <v>166</v>
      </c>
      <c r="P181" s="353"/>
      <c r="Q181" s="356"/>
      <c r="R181" s="354"/>
      <c r="S181" s="216">
        <v>5</v>
      </c>
      <c r="U181" s="225"/>
      <c r="V181" s="214"/>
      <c r="Z181" s="225"/>
      <c r="AA181" s="332"/>
    </row>
    <row r="182" spans="15:27" ht="13.5" thickBot="1" x14ac:dyDescent="0.25">
      <c r="O182" s="37">
        <v>167</v>
      </c>
      <c r="P182" s="353"/>
      <c r="Q182" s="356"/>
      <c r="R182" s="354"/>
      <c r="S182" s="216">
        <v>5</v>
      </c>
      <c r="U182" s="225"/>
      <c r="V182" s="214"/>
      <c r="Z182" s="225"/>
      <c r="AA182" s="332"/>
    </row>
    <row r="183" spans="15:27" ht="13.5" thickBot="1" x14ac:dyDescent="0.25">
      <c r="O183" s="39">
        <v>168</v>
      </c>
      <c r="P183" s="353"/>
      <c r="Q183" s="356"/>
      <c r="R183" s="354"/>
      <c r="S183" s="216">
        <v>5</v>
      </c>
      <c r="U183" s="225"/>
      <c r="V183" s="214"/>
      <c r="Z183" s="225"/>
      <c r="AA183" s="332"/>
    </row>
    <row r="184" spans="15:27" ht="13.5" thickBot="1" x14ac:dyDescent="0.25">
      <c r="O184" s="37">
        <v>169</v>
      </c>
      <c r="P184" s="353"/>
      <c r="Q184" s="356"/>
      <c r="R184" s="354"/>
      <c r="S184" s="216">
        <v>5</v>
      </c>
      <c r="U184" s="225"/>
      <c r="V184" s="214"/>
      <c r="Z184" s="225"/>
      <c r="AA184" s="332"/>
    </row>
    <row r="185" spans="15:27" ht="13.5" thickBot="1" x14ac:dyDescent="0.25">
      <c r="O185" s="39">
        <v>170</v>
      </c>
      <c r="P185" s="353"/>
      <c r="Q185" s="356"/>
      <c r="R185" s="354"/>
      <c r="S185" s="216">
        <v>5</v>
      </c>
      <c r="U185" s="225"/>
      <c r="V185" s="214"/>
      <c r="Z185" s="225"/>
      <c r="AA185" s="332"/>
    </row>
    <row r="186" spans="15:27" ht="13.5" thickBot="1" x14ac:dyDescent="0.25">
      <c r="O186" s="37">
        <v>171</v>
      </c>
      <c r="P186" s="353"/>
      <c r="Q186" s="356"/>
      <c r="R186" s="354"/>
      <c r="S186" s="216">
        <v>5</v>
      </c>
      <c r="U186" s="225"/>
      <c r="V186" s="214"/>
      <c r="Z186" s="225"/>
      <c r="AA186" s="332"/>
    </row>
    <row r="187" spans="15:27" ht="13.5" thickBot="1" x14ac:dyDescent="0.25">
      <c r="O187" s="39">
        <v>172</v>
      </c>
      <c r="P187" s="353"/>
      <c r="Q187" s="356"/>
      <c r="R187" s="354"/>
      <c r="S187" s="216">
        <v>5</v>
      </c>
      <c r="U187" s="225"/>
      <c r="V187" s="214"/>
      <c r="Z187" s="225"/>
      <c r="AA187" s="332"/>
    </row>
    <row r="188" spans="15:27" ht="13.5" thickBot="1" x14ac:dyDescent="0.25">
      <c r="O188" s="37">
        <v>173</v>
      </c>
      <c r="P188" s="353"/>
      <c r="Q188" s="356"/>
      <c r="R188" s="354"/>
      <c r="S188" s="216">
        <v>5</v>
      </c>
      <c r="U188" s="225"/>
      <c r="V188" s="214"/>
      <c r="Z188" s="225"/>
      <c r="AA188" s="332"/>
    </row>
    <row r="189" spans="15:27" ht="13.5" thickBot="1" x14ac:dyDescent="0.25">
      <c r="O189" s="39">
        <v>174</v>
      </c>
      <c r="P189" s="353"/>
      <c r="Q189" s="356"/>
      <c r="R189" s="354"/>
      <c r="S189" s="216">
        <v>5</v>
      </c>
    </row>
    <row r="190" spans="15:27" ht="13.5" thickBot="1" x14ac:dyDescent="0.25">
      <c r="O190" s="37">
        <v>175</v>
      </c>
      <c r="P190" s="353"/>
      <c r="Q190" s="356"/>
      <c r="R190" s="354"/>
      <c r="S190" s="216">
        <v>5</v>
      </c>
    </row>
    <row r="191" spans="15:27" ht="13.5" thickBot="1" x14ac:dyDescent="0.25">
      <c r="O191" s="39">
        <v>176</v>
      </c>
      <c r="P191" s="353"/>
      <c r="Q191" s="356"/>
      <c r="R191" s="354"/>
      <c r="S191" s="216">
        <v>5</v>
      </c>
    </row>
    <row r="192" spans="15:27" ht="13.5" thickBot="1" x14ac:dyDescent="0.25">
      <c r="O192" s="37">
        <v>177</v>
      </c>
      <c r="P192" s="353"/>
      <c r="Q192" s="356"/>
      <c r="R192" s="354"/>
      <c r="S192" s="216">
        <v>5</v>
      </c>
    </row>
    <row r="193" spans="15:19" ht="13.5" thickBot="1" x14ac:dyDescent="0.25">
      <c r="O193" s="39">
        <v>178</v>
      </c>
      <c r="P193" s="353"/>
      <c r="Q193" s="356"/>
      <c r="R193" s="354"/>
      <c r="S193" s="216">
        <v>5</v>
      </c>
    </row>
    <row r="194" spans="15:19" ht="13.5" thickBot="1" x14ac:dyDescent="0.25">
      <c r="O194" s="37">
        <v>179</v>
      </c>
      <c r="P194" s="353"/>
      <c r="Q194" s="356"/>
      <c r="R194" s="354"/>
      <c r="S194" s="216">
        <v>5</v>
      </c>
    </row>
    <row r="195" spans="15:19" ht="13.5" thickBot="1" x14ac:dyDescent="0.25">
      <c r="O195" s="39">
        <v>180</v>
      </c>
      <c r="P195" s="353"/>
      <c r="Q195" s="356"/>
      <c r="R195" s="354"/>
      <c r="S195" s="216">
        <v>5</v>
      </c>
    </row>
    <row r="196" spans="15:19" ht="13.5" thickBot="1" x14ac:dyDescent="0.25">
      <c r="O196" s="37">
        <v>181</v>
      </c>
      <c r="P196" s="353"/>
      <c r="Q196" s="356"/>
      <c r="R196" s="354"/>
      <c r="S196" s="216">
        <v>5</v>
      </c>
    </row>
    <row r="197" spans="15:19" ht="13.5" thickBot="1" x14ac:dyDescent="0.25">
      <c r="O197" s="39">
        <v>182</v>
      </c>
      <c r="P197" s="353"/>
      <c r="Q197" s="356"/>
      <c r="R197" s="354"/>
      <c r="S197" s="216">
        <v>5</v>
      </c>
    </row>
    <row r="198" spans="15:19" ht="13.5" thickBot="1" x14ac:dyDescent="0.25">
      <c r="O198" s="37">
        <v>183</v>
      </c>
      <c r="P198" s="353"/>
      <c r="Q198" s="356"/>
      <c r="R198" s="354"/>
      <c r="S198" s="216">
        <v>5</v>
      </c>
    </row>
    <row r="199" spans="15:19" ht="13.5" thickBot="1" x14ac:dyDescent="0.25">
      <c r="O199" s="39">
        <v>184</v>
      </c>
      <c r="P199" s="353"/>
      <c r="Q199" s="356"/>
      <c r="R199" s="354"/>
      <c r="S199" s="216">
        <v>5</v>
      </c>
    </row>
    <row r="200" spans="15:19" ht="13.5" thickBot="1" x14ac:dyDescent="0.25">
      <c r="O200" s="37">
        <v>185</v>
      </c>
      <c r="P200" s="353"/>
      <c r="Q200" s="356"/>
      <c r="R200" s="354"/>
      <c r="S200" s="216">
        <v>5</v>
      </c>
    </row>
    <row r="201" spans="15:19" ht="13.5" thickBot="1" x14ac:dyDescent="0.25">
      <c r="O201" s="39">
        <v>186</v>
      </c>
      <c r="P201" s="353"/>
      <c r="Q201" s="356"/>
      <c r="R201" s="354"/>
      <c r="S201" s="216">
        <v>5</v>
      </c>
    </row>
    <row r="202" spans="15:19" ht="13.5" thickBot="1" x14ac:dyDescent="0.25">
      <c r="O202" s="37">
        <v>187</v>
      </c>
      <c r="P202" s="353"/>
      <c r="Q202" s="356"/>
      <c r="R202" s="354"/>
      <c r="S202" s="216">
        <v>5</v>
      </c>
    </row>
    <row r="203" spans="15:19" ht="13.5" thickBot="1" x14ac:dyDescent="0.25">
      <c r="O203" s="39">
        <v>188</v>
      </c>
      <c r="P203" s="353"/>
      <c r="Q203" s="356"/>
      <c r="R203" s="354"/>
      <c r="S203" s="216">
        <v>5</v>
      </c>
    </row>
    <row r="204" spans="15:19" ht="13.5" thickBot="1" x14ac:dyDescent="0.25">
      <c r="O204" s="37">
        <v>189</v>
      </c>
      <c r="P204" s="353"/>
      <c r="Q204" s="356"/>
      <c r="R204" s="354"/>
      <c r="S204" s="216">
        <v>5</v>
      </c>
    </row>
    <row r="205" spans="15:19" ht="13.5" thickBot="1" x14ac:dyDescent="0.25">
      <c r="O205" s="39">
        <v>190</v>
      </c>
      <c r="P205" s="353"/>
      <c r="Q205" s="356"/>
      <c r="R205" s="354"/>
      <c r="S205" s="216">
        <v>5</v>
      </c>
    </row>
    <row r="206" spans="15:19" ht="13.5" thickBot="1" x14ac:dyDescent="0.25">
      <c r="O206" s="37">
        <v>191</v>
      </c>
      <c r="P206" s="353"/>
      <c r="Q206" s="356"/>
      <c r="R206" s="354"/>
      <c r="S206" s="216">
        <v>5</v>
      </c>
    </row>
    <row r="207" spans="15:19" ht="13.5" thickBot="1" x14ac:dyDescent="0.25">
      <c r="O207" s="39">
        <v>192</v>
      </c>
      <c r="P207" s="353"/>
      <c r="Q207" s="356"/>
      <c r="R207" s="354"/>
      <c r="S207" s="216">
        <v>5</v>
      </c>
    </row>
    <row r="208" spans="15:19" ht="13.5" thickBot="1" x14ac:dyDescent="0.25">
      <c r="O208" s="37">
        <v>193</v>
      </c>
      <c r="P208" s="353"/>
      <c r="Q208" s="356"/>
      <c r="R208" s="354"/>
      <c r="S208" s="216">
        <v>5</v>
      </c>
    </row>
    <row r="209" spans="15:19" ht="13.5" thickBot="1" x14ac:dyDescent="0.25">
      <c r="O209" s="39">
        <v>194</v>
      </c>
      <c r="P209" s="353"/>
      <c r="Q209" s="356"/>
      <c r="R209" s="354"/>
      <c r="S209" s="216">
        <v>5</v>
      </c>
    </row>
    <row r="210" spans="15:19" ht="13.5" thickBot="1" x14ac:dyDescent="0.25">
      <c r="O210" s="37">
        <v>195</v>
      </c>
      <c r="P210" s="353"/>
      <c r="Q210" s="356"/>
      <c r="R210" s="354"/>
      <c r="S210" s="216">
        <v>5</v>
      </c>
    </row>
    <row r="211" spans="15:19" ht="13.5" thickBot="1" x14ac:dyDescent="0.25">
      <c r="O211" s="39">
        <v>196</v>
      </c>
      <c r="P211" s="353"/>
      <c r="Q211" s="356"/>
      <c r="R211" s="354"/>
      <c r="S211" s="216">
        <v>5</v>
      </c>
    </row>
    <row r="212" spans="15:19" ht="13.5" thickBot="1" x14ac:dyDescent="0.25">
      <c r="O212" s="37">
        <v>197</v>
      </c>
      <c r="P212" s="353"/>
      <c r="Q212" s="356"/>
      <c r="R212" s="354"/>
      <c r="S212" s="216">
        <v>5</v>
      </c>
    </row>
    <row r="213" spans="15:19" ht="13.5" thickBot="1" x14ac:dyDescent="0.25">
      <c r="O213" s="39">
        <v>198</v>
      </c>
      <c r="P213" s="353"/>
      <c r="Q213" s="356"/>
      <c r="R213" s="354"/>
      <c r="S213" s="216">
        <v>5</v>
      </c>
    </row>
    <row r="214" spans="15:19" ht="13.5" thickBot="1" x14ac:dyDescent="0.25">
      <c r="O214" s="37">
        <v>199</v>
      </c>
      <c r="P214" s="353"/>
      <c r="Q214" s="356"/>
      <c r="R214" s="354"/>
      <c r="S214" s="216">
        <v>5</v>
      </c>
    </row>
    <row r="215" spans="15:19" ht="13.5" thickBot="1" x14ac:dyDescent="0.25">
      <c r="O215" s="39">
        <v>200</v>
      </c>
      <c r="P215" s="353"/>
      <c r="Q215" s="356"/>
      <c r="R215" s="354"/>
      <c r="S215" s="216">
        <v>5</v>
      </c>
    </row>
    <row r="216" spans="15:19" ht="13.5" thickBot="1" x14ac:dyDescent="0.25">
      <c r="O216" s="37">
        <v>201</v>
      </c>
      <c r="P216" s="353"/>
      <c r="Q216" s="356"/>
      <c r="R216" s="354"/>
      <c r="S216" s="216">
        <v>5</v>
      </c>
    </row>
    <row r="217" spans="15:19" ht="13.5" thickBot="1" x14ac:dyDescent="0.25">
      <c r="O217" s="39">
        <v>202</v>
      </c>
      <c r="P217" s="353"/>
      <c r="Q217" s="356"/>
      <c r="R217" s="354"/>
      <c r="S217" s="216">
        <v>5</v>
      </c>
    </row>
    <row r="218" spans="15:19" ht="13.5" thickBot="1" x14ac:dyDescent="0.25">
      <c r="O218" s="37">
        <v>203</v>
      </c>
      <c r="P218" s="353"/>
      <c r="Q218" s="356"/>
      <c r="R218" s="354"/>
      <c r="S218" s="216">
        <v>5</v>
      </c>
    </row>
    <row r="219" spans="15:19" ht="13.5" thickBot="1" x14ac:dyDescent="0.25">
      <c r="O219" s="39">
        <v>204</v>
      </c>
      <c r="P219" s="353"/>
      <c r="Q219" s="356"/>
      <c r="R219" s="354"/>
      <c r="S219" s="216">
        <v>5</v>
      </c>
    </row>
    <row r="220" spans="15:19" ht="13.5" thickBot="1" x14ac:dyDescent="0.25">
      <c r="O220" s="37">
        <v>205</v>
      </c>
      <c r="P220" s="353"/>
      <c r="Q220" s="356"/>
      <c r="R220" s="354"/>
      <c r="S220" s="216">
        <v>5</v>
      </c>
    </row>
    <row r="221" spans="15:19" ht="13.5" thickBot="1" x14ac:dyDescent="0.25">
      <c r="O221" s="39">
        <v>206</v>
      </c>
      <c r="P221" s="353"/>
      <c r="Q221" s="356"/>
      <c r="R221" s="354"/>
      <c r="S221" s="216">
        <v>5</v>
      </c>
    </row>
    <row r="222" spans="15:19" ht="13.5" thickBot="1" x14ac:dyDescent="0.25">
      <c r="O222" s="37">
        <v>207</v>
      </c>
      <c r="P222" s="353"/>
      <c r="Q222" s="356"/>
      <c r="R222" s="354"/>
      <c r="S222" s="216">
        <v>5</v>
      </c>
    </row>
    <row r="223" spans="15:19" ht="13.5" thickBot="1" x14ac:dyDescent="0.25">
      <c r="O223" s="39">
        <v>208</v>
      </c>
      <c r="P223" s="353"/>
      <c r="Q223" s="356"/>
      <c r="R223" s="354"/>
      <c r="S223" s="216">
        <v>5</v>
      </c>
    </row>
    <row r="224" spans="15:19" ht="13.5" thickBot="1" x14ac:dyDescent="0.25">
      <c r="O224" s="37">
        <v>209</v>
      </c>
      <c r="P224" s="353"/>
      <c r="Q224" s="356"/>
      <c r="R224" s="354"/>
      <c r="S224" s="216">
        <v>5</v>
      </c>
    </row>
    <row r="225" spans="15:19" ht="13.5" thickBot="1" x14ac:dyDescent="0.25">
      <c r="O225" s="39">
        <v>210</v>
      </c>
      <c r="P225" s="353"/>
      <c r="Q225" s="356"/>
      <c r="R225" s="354"/>
      <c r="S225" s="216">
        <v>5</v>
      </c>
    </row>
    <row r="226" spans="15:19" ht="13.5" thickBot="1" x14ac:dyDescent="0.25">
      <c r="O226" s="37">
        <v>211</v>
      </c>
      <c r="P226" s="353"/>
      <c r="Q226" s="356"/>
      <c r="R226" s="354"/>
      <c r="S226" s="216">
        <v>5</v>
      </c>
    </row>
    <row r="227" spans="15:19" ht="13.5" thickBot="1" x14ac:dyDescent="0.25">
      <c r="O227" s="39">
        <v>212</v>
      </c>
      <c r="P227" s="353"/>
      <c r="Q227" s="356"/>
      <c r="R227" s="354"/>
      <c r="S227" s="216">
        <v>5</v>
      </c>
    </row>
    <row r="228" spans="15:19" ht="13.5" thickBot="1" x14ac:dyDescent="0.25">
      <c r="O228" s="37">
        <v>213</v>
      </c>
      <c r="P228" s="353"/>
      <c r="Q228" s="356"/>
      <c r="R228" s="354"/>
      <c r="S228" s="216">
        <v>5</v>
      </c>
    </row>
    <row r="229" spans="15:19" ht="13.5" thickBot="1" x14ac:dyDescent="0.25">
      <c r="O229" s="39">
        <v>214</v>
      </c>
      <c r="P229" s="353"/>
      <c r="Q229" s="356"/>
      <c r="R229" s="354"/>
      <c r="S229" s="216">
        <v>5</v>
      </c>
    </row>
    <row r="230" spans="15:19" ht="13.5" thickBot="1" x14ac:dyDescent="0.25">
      <c r="O230" s="37">
        <v>215</v>
      </c>
      <c r="P230" s="353"/>
      <c r="Q230" s="356"/>
      <c r="R230" s="354"/>
      <c r="S230" s="216">
        <v>5</v>
      </c>
    </row>
    <row r="231" spans="15:19" ht="13.5" thickBot="1" x14ac:dyDescent="0.25">
      <c r="O231" s="39">
        <v>216</v>
      </c>
      <c r="P231" s="353"/>
      <c r="Q231" s="356"/>
      <c r="R231" s="354"/>
      <c r="S231" s="216">
        <v>5</v>
      </c>
    </row>
    <row r="232" spans="15:19" ht="13.5" thickBot="1" x14ac:dyDescent="0.25">
      <c r="O232" s="37">
        <v>217</v>
      </c>
      <c r="P232" s="353"/>
      <c r="Q232" s="356"/>
      <c r="R232" s="354"/>
      <c r="S232" s="216">
        <v>5</v>
      </c>
    </row>
    <row r="233" spans="15:19" ht="13.5" thickBot="1" x14ac:dyDescent="0.25">
      <c r="O233" s="39">
        <v>218</v>
      </c>
      <c r="P233" s="353"/>
      <c r="Q233" s="356"/>
      <c r="R233" s="354"/>
      <c r="S233" s="216">
        <v>5</v>
      </c>
    </row>
    <row r="234" spans="15:19" ht="13.5" thickBot="1" x14ac:dyDescent="0.25">
      <c r="O234" s="37">
        <v>219</v>
      </c>
      <c r="P234" s="353"/>
      <c r="Q234" s="356"/>
      <c r="R234" s="354"/>
      <c r="S234" s="216">
        <v>5</v>
      </c>
    </row>
    <row r="235" spans="15:19" ht="13.5" thickBot="1" x14ac:dyDescent="0.25">
      <c r="O235" s="39">
        <v>220</v>
      </c>
      <c r="P235" s="353"/>
      <c r="Q235" s="356"/>
      <c r="R235" s="354"/>
      <c r="S235" s="216">
        <v>5</v>
      </c>
    </row>
    <row r="236" spans="15:19" ht="13.5" thickBot="1" x14ac:dyDescent="0.25">
      <c r="O236" s="37">
        <v>221</v>
      </c>
      <c r="P236" s="353"/>
      <c r="Q236" s="356"/>
      <c r="R236" s="354"/>
      <c r="S236" s="216">
        <v>5</v>
      </c>
    </row>
    <row r="237" spans="15:19" ht="13.5" thickBot="1" x14ac:dyDescent="0.25">
      <c r="O237" s="39">
        <v>222</v>
      </c>
      <c r="P237" s="353"/>
      <c r="Q237" s="356"/>
      <c r="R237" s="354"/>
      <c r="S237" s="216">
        <v>5</v>
      </c>
    </row>
    <row r="238" spans="15:19" ht="13.5" thickBot="1" x14ac:dyDescent="0.25">
      <c r="O238" s="37">
        <v>223</v>
      </c>
      <c r="P238" s="353"/>
      <c r="Q238" s="356"/>
      <c r="R238" s="354"/>
      <c r="S238" s="216">
        <v>5</v>
      </c>
    </row>
    <row r="239" spans="15:19" ht="13.5" thickBot="1" x14ac:dyDescent="0.25">
      <c r="O239" s="39">
        <v>224</v>
      </c>
      <c r="P239" s="353"/>
      <c r="Q239" s="356"/>
      <c r="R239" s="354"/>
      <c r="S239" s="216">
        <v>5</v>
      </c>
    </row>
    <row r="240" spans="15:19" ht="13.5" thickBot="1" x14ac:dyDescent="0.25">
      <c r="O240" s="37">
        <v>225</v>
      </c>
      <c r="P240" s="353"/>
      <c r="Q240" s="356"/>
      <c r="R240" s="354"/>
      <c r="S240" s="216">
        <v>5</v>
      </c>
    </row>
    <row r="241" spans="15:19" ht="13.5" thickBot="1" x14ac:dyDescent="0.25">
      <c r="O241" s="39">
        <v>226</v>
      </c>
      <c r="P241" s="353"/>
      <c r="Q241" s="356"/>
      <c r="R241" s="354"/>
      <c r="S241" s="216">
        <v>5</v>
      </c>
    </row>
    <row r="242" spans="15:19" ht="13.5" thickBot="1" x14ac:dyDescent="0.25">
      <c r="O242" s="37">
        <v>227</v>
      </c>
      <c r="P242" s="353"/>
      <c r="Q242" s="356"/>
      <c r="R242" s="354"/>
      <c r="S242" s="216">
        <v>5</v>
      </c>
    </row>
    <row r="243" spans="15:19" ht="13.5" thickBot="1" x14ac:dyDescent="0.25">
      <c r="O243" s="39">
        <v>228</v>
      </c>
      <c r="P243" s="353"/>
      <c r="Q243" s="356"/>
      <c r="R243" s="354"/>
      <c r="S243" s="216">
        <v>5</v>
      </c>
    </row>
    <row r="244" spans="15:19" ht="13.5" thickBot="1" x14ac:dyDescent="0.25">
      <c r="O244" s="37">
        <v>229</v>
      </c>
      <c r="P244" s="353"/>
      <c r="Q244" s="356"/>
      <c r="R244" s="354"/>
      <c r="S244" s="216">
        <v>5</v>
      </c>
    </row>
    <row r="245" spans="15:19" ht="13.5" thickBot="1" x14ac:dyDescent="0.25">
      <c r="O245" s="39">
        <v>230</v>
      </c>
      <c r="P245" s="353"/>
      <c r="Q245" s="356"/>
      <c r="R245" s="354"/>
      <c r="S245" s="216">
        <v>5</v>
      </c>
    </row>
    <row r="246" spans="15:19" ht="13.5" thickBot="1" x14ac:dyDescent="0.25">
      <c r="O246" s="37">
        <v>231</v>
      </c>
      <c r="P246" s="353"/>
      <c r="Q246" s="356"/>
      <c r="R246" s="354"/>
      <c r="S246" s="216">
        <v>5</v>
      </c>
    </row>
    <row r="247" spans="15:19" ht="13.5" thickBot="1" x14ac:dyDescent="0.25">
      <c r="O247" s="39">
        <v>232</v>
      </c>
      <c r="P247" s="353"/>
      <c r="Q247" s="356"/>
      <c r="R247" s="354"/>
      <c r="S247" s="216">
        <v>5</v>
      </c>
    </row>
    <row r="248" spans="15:19" ht="13.5" thickBot="1" x14ac:dyDescent="0.25">
      <c r="O248" s="37">
        <v>233</v>
      </c>
      <c r="P248" s="353"/>
      <c r="Q248" s="356"/>
      <c r="R248" s="354"/>
      <c r="S248" s="216">
        <v>5</v>
      </c>
    </row>
    <row r="249" spans="15:19" ht="13.5" thickBot="1" x14ac:dyDescent="0.25">
      <c r="O249" s="39">
        <v>234</v>
      </c>
      <c r="P249" s="353"/>
      <c r="Q249" s="356"/>
      <c r="R249" s="354"/>
      <c r="S249" s="216">
        <v>5</v>
      </c>
    </row>
    <row r="250" spans="15:19" ht="13.5" thickBot="1" x14ac:dyDescent="0.25">
      <c r="O250" s="37">
        <v>235</v>
      </c>
      <c r="P250" s="353"/>
      <c r="Q250" s="356"/>
      <c r="R250" s="354"/>
      <c r="S250" s="216">
        <v>5</v>
      </c>
    </row>
  </sheetData>
  <mergeCells count="48">
    <mergeCell ref="A8:C9"/>
    <mergeCell ref="J8:J9"/>
    <mergeCell ref="K8:K9"/>
    <mergeCell ref="O7:R7"/>
    <mergeCell ref="AD6:AG6"/>
    <mergeCell ref="AD7:AG7"/>
    <mergeCell ref="O6:R6"/>
    <mergeCell ref="T6:W6"/>
    <mergeCell ref="T7:W7"/>
    <mergeCell ref="Y6:AB6"/>
    <mergeCell ref="Y7:AB7"/>
    <mergeCell ref="AN6:AQ6"/>
    <mergeCell ref="AS6:AV6"/>
    <mergeCell ref="AI6:AL6"/>
    <mergeCell ref="AS7:AV7"/>
    <mergeCell ref="AI7:AL7"/>
    <mergeCell ref="AN7:AQ7"/>
    <mergeCell ref="AX6:BA6"/>
    <mergeCell ref="BC6:BF6"/>
    <mergeCell ref="BH6:BK6"/>
    <mergeCell ref="CB6:CE6"/>
    <mergeCell ref="CG7:CJ7"/>
    <mergeCell ref="BM7:BP7"/>
    <mergeCell ref="CG6:CJ6"/>
    <mergeCell ref="BH7:BK7"/>
    <mergeCell ref="AX7:BA7"/>
    <mergeCell ref="BC7:BF7"/>
    <mergeCell ref="CB7:CE7"/>
    <mergeCell ref="BR7:BU7"/>
    <mergeCell ref="BW7:BZ7"/>
    <mergeCell ref="BW6:BZ6"/>
    <mergeCell ref="BR6:BU6"/>
    <mergeCell ref="CG3:CJ3"/>
    <mergeCell ref="BM6:BP6"/>
    <mergeCell ref="BW3:BZ3"/>
    <mergeCell ref="CB3:CE3"/>
    <mergeCell ref="O3:R3"/>
    <mergeCell ref="T3:W3"/>
    <mergeCell ref="Y3:AB3"/>
    <mergeCell ref="BR3:BU3"/>
    <mergeCell ref="AD3:AG3"/>
    <mergeCell ref="AI3:AL3"/>
    <mergeCell ref="AN3:AQ3"/>
    <mergeCell ref="BH3:BK3"/>
    <mergeCell ref="AS3:AV3"/>
    <mergeCell ref="AX3:BA3"/>
    <mergeCell ref="BC3:BF3"/>
    <mergeCell ref="BM3:BP3"/>
  </mergeCells>
  <phoneticPr fontId="2" type="noConversion"/>
  <dataValidations disablePrompts="1" count="1">
    <dataValidation type="list" allowBlank="1" showInputMessage="1" showErrorMessage="1" sqref="Y7 CG7 AS7 T7 AD7 AI7 AN7 AX7 BC7 BH7 BM7 BR7 BW7 CB7">
      <formula1>$D$33:$D$34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83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13</vt:i4>
      </vt:variant>
    </vt:vector>
  </HeadingPairs>
  <TitlesOfParts>
    <vt:vector size="19" baseType="lpstr">
      <vt:lpstr>Simulador CEF</vt:lpstr>
      <vt:lpstr>Apoio</vt:lpstr>
      <vt:lpstr>Premissas e Calculos</vt:lpstr>
      <vt:lpstr>Proposta 1 Via</vt:lpstr>
      <vt:lpstr>fluxos</vt:lpstr>
      <vt:lpstr>DADOS DOS EMPREENDIMENTOS</vt:lpstr>
      <vt:lpstr>Apoio!Area_de_impressao</vt:lpstr>
      <vt:lpstr>'DADOS DOS EMPREENDIMENTOS'!Area_de_impressao</vt:lpstr>
      <vt:lpstr>'Premissas e Calculos'!Area_de_impressao</vt:lpstr>
      <vt:lpstr>'Proposta 1 Via'!Area_de_impressao</vt:lpstr>
      <vt:lpstr>'Simulador CEF'!Area_de_impressao</vt:lpstr>
      <vt:lpstr>INCC</vt:lpstr>
      <vt:lpstr>OBRA_VGV</vt:lpstr>
      <vt:lpstr>SM</vt:lpstr>
      <vt:lpstr>SUB</vt:lpstr>
      <vt:lpstr>SUBMin</vt:lpstr>
      <vt:lpstr>'DADOS DOS EMPREENDIMENTOS'!Terreno_VGV</vt:lpstr>
      <vt:lpstr>VMI</vt:lpstr>
      <vt:lpstr>'DADOS DOS EMPREENDIMENTOS'!VP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Juliano</dc:creator>
  <cp:lastModifiedBy>Robson França</cp:lastModifiedBy>
  <cp:lastPrinted>2019-06-24T18:23:51Z</cp:lastPrinted>
  <dcterms:created xsi:type="dcterms:W3CDTF">2009-05-16T11:44:52Z</dcterms:created>
  <dcterms:modified xsi:type="dcterms:W3CDTF">2019-12-03T18:13:08Z</dcterms:modified>
</cp:coreProperties>
</file>