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R:\VENDAS\SECRETARIA DE VENDAS\LIVING\Empreendimentos\Vivaz São Cristovao\Simulador\12.2019\"/>
    </mc:Choice>
  </mc:AlternateContent>
  <bookViews>
    <workbookView xWindow="0" yWindow="0" windowWidth="19200" windowHeight="10890" tabRatio="811"/>
  </bookViews>
  <sheets>
    <sheet name="Simulador CEF" sheetId="22" r:id="rId1"/>
    <sheet name="Apoio" sheetId="23" state="hidden" r:id="rId2"/>
    <sheet name="Premissas e Calculos" sheetId="1" state="hidden" r:id="rId3"/>
    <sheet name="Proposta 1 Via" sheetId="19" state="hidden" r:id="rId4"/>
    <sheet name="fluxos" sheetId="25" state="hidden" r:id="rId5"/>
    <sheet name="DADOS DOS EMPREENDIMENTOS" sheetId="24" state="hidden" r:id="rId6"/>
  </sheets>
  <definedNames>
    <definedName name="_xlnm._FilterDatabase" localSheetId="1" hidden="1">Apoio!$A$8:$L$8</definedName>
    <definedName name="_xlnm._FilterDatabase" localSheetId="3" hidden="1">'Proposta 1 Via'!$A$1:$A$88</definedName>
    <definedName name="_xlnm.Print_Area" localSheetId="1">Apoio!#REF!</definedName>
    <definedName name="_xlnm.Print_Area" localSheetId="5">'DADOS DOS EMPREENDIMENTOS'!$P$2:$R$16</definedName>
    <definedName name="_xlnm.Print_Area" localSheetId="2">'Premissas e Calculos'!$B$1:$D$8</definedName>
    <definedName name="_xlnm.Print_Area" localSheetId="3">'Proposta 1 Via'!$E$1:$M$87</definedName>
    <definedName name="_xlnm.Print_Area" localSheetId="0">'Simulador CEF'!$B$2:$V$145</definedName>
    <definedName name="comissao">#REF!</definedName>
    <definedName name="entrada240">#REF!</definedName>
    <definedName name="entrada300">#REF!</definedName>
    <definedName name="INCC">'Premissas e Calculos'!$G$15</definedName>
    <definedName name="INICIO_OBRA" localSheetId="5">'DADOS DOS EMPREENDIMENTOS'!#REF!</definedName>
    <definedName name="INICIO_OBRA">#REF!</definedName>
    <definedName name="Mês" localSheetId="1">#REF!</definedName>
    <definedName name="Mês" localSheetId="0">#REF!</definedName>
    <definedName name="Mês">#REF!</definedName>
    <definedName name="OBRA_VGV">'Premissas e Calculos'!$G$16</definedName>
    <definedName name="Prazo_Obra" localSheetId="5">'DADOS DOS EMPREENDIMENTOS'!#REF!</definedName>
    <definedName name="Prazo_Obra">#REF!</definedName>
    <definedName name="repasse240" localSheetId="0">#REF!</definedName>
    <definedName name="repasse240">#REF!</definedName>
    <definedName name="repasse300" localSheetId="0">#REF!</definedName>
    <definedName name="repasse300">#REF!</definedName>
    <definedName name="SM">'Premissas e Calculos'!$G$13</definedName>
    <definedName name="SUB">'Premissas e Calculos'!$G$4</definedName>
    <definedName name="SUBMin">'Premissas e Calculos'!$G$5</definedName>
    <definedName name="Terreno_VGV" localSheetId="5">'DADOS DOS EMPREENDIMENTOS'!$V$9</definedName>
    <definedName name="Terreno_VGV">#REF!</definedName>
    <definedName name="VMI">'Premissas e Calculos'!$G$3</definedName>
    <definedName name="VP" localSheetId="5">'DADOS DOS EMPREENDIMENTOS'!$V$10</definedName>
    <definedName name="VP">#REF!</definedName>
  </definedNames>
  <calcPr calcId="162913"/>
</workbook>
</file>

<file path=xl/calcChain.xml><?xml version="1.0" encoding="utf-8"?>
<calcChain xmlns="http://schemas.openxmlformats.org/spreadsheetml/2006/main">
  <c r="D11" i="23" l="1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61" i="23"/>
  <c r="D62" i="23"/>
  <c r="D63" i="23"/>
  <c r="D64" i="23"/>
  <c r="D65" i="23"/>
  <c r="D66" i="23"/>
  <c r="D67" i="23"/>
  <c r="D68" i="23"/>
  <c r="D69" i="23"/>
  <c r="D70" i="23"/>
  <c r="D71" i="23"/>
  <c r="D72" i="23"/>
  <c r="D73" i="23"/>
  <c r="D74" i="23"/>
  <c r="D75" i="23"/>
  <c r="D76" i="23"/>
  <c r="D77" i="23"/>
  <c r="D78" i="23"/>
  <c r="D79" i="23"/>
  <c r="D80" i="23"/>
  <c r="D81" i="23"/>
  <c r="D82" i="23"/>
  <c r="D83" i="23"/>
  <c r="D84" i="23"/>
  <c r="D85" i="23"/>
  <c r="D86" i="23"/>
  <c r="D87" i="23"/>
  <c r="D88" i="23"/>
  <c r="D89" i="23"/>
  <c r="D90" i="23"/>
  <c r="D91" i="23"/>
  <c r="D92" i="23"/>
  <c r="D93" i="23"/>
  <c r="D94" i="23"/>
  <c r="D95" i="23"/>
  <c r="D96" i="23"/>
  <c r="D97" i="23"/>
  <c r="D98" i="23"/>
  <c r="D99" i="23"/>
  <c r="D100" i="23"/>
  <c r="D101" i="23"/>
  <c r="D102" i="23"/>
  <c r="D103" i="23"/>
  <c r="D104" i="23"/>
  <c r="D105" i="23"/>
  <c r="D106" i="23"/>
  <c r="D107" i="23"/>
  <c r="D108" i="23"/>
  <c r="D109" i="23"/>
  <c r="D110" i="23"/>
  <c r="D111" i="23"/>
  <c r="D112" i="23"/>
  <c r="D113" i="23"/>
  <c r="D114" i="23"/>
  <c r="D115" i="23"/>
  <c r="D116" i="23"/>
  <c r="D117" i="23"/>
  <c r="D118" i="23"/>
  <c r="D119" i="23"/>
  <c r="D120" i="23"/>
  <c r="D121" i="23"/>
  <c r="D122" i="23"/>
  <c r="D123" i="23"/>
  <c r="D124" i="23"/>
  <c r="D125" i="23"/>
  <c r="D126" i="23"/>
  <c r="D127" i="23"/>
  <c r="D128" i="23"/>
  <c r="D129" i="23"/>
  <c r="D130" i="23"/>
  <c r="D131" i="23"/>
  <c r="D132" i="23"/>
  <c r="D133" i="23"/>
  <c r="D134" i="23"/>
  <c r="D135" i="23"/>
  <c r="D136" i="23"/>
  <c r="D137" i="23"/>
  <c r="D138" i="23"/>
  <c r="D139" i="23"/>
  <c r="D140" i="23"/>
  <c r="D141" i="23"/>
  <c r="D142" i="23"/>
  <c r="D143" i="23"/>
  <c r="D144" i="23"/>
  <c r="D145" i="23"/>
  <c r="D146" i="23"/>
  <c r="D147" i="23"/>
  <c r="D148" i="23"/>
  <c r="D149" i="23"/>
  <c r="D150" i="23"/>
  <c r="D151" i="23"/>
  <c r="D152" i="23"/>
  <c r="D153" i="23"/>
  <c r="D154" i="23"/>
  <c r="D155" i="23"/>
  <c r="D156" i="23"/>
  <c r="D157" i="23"/>
  <c r="D158" i="23"/>
  <c r="D159" i="23"/>
  <c r="D160" i="23"/>
  <c r="D161" i="23"/>
  <c r="D162" i="23"/>
  <c r="D163" i="23"/>
  <c r="D164" i="23"/>
  <c r="D165" i="23"/>
  <c r="D166" i="23"/>
  <c r="D167" i="23"/>
  <c r="D168" i="23"/>
  <c r="D169" i="23"/>
  <c r="D170" i="23"/>
  <c r="D171" i="23"/>
  <c r="D172" i="23"/>
  <c r="D173" i="23"/>
  <c r="D174" i="23"/>
  <c r="D175" i="23"/>
  <c r="D176" i="23"/>
  <c r="D177" i="23"/>
  <c r="D178" i="23"/>
  <c r="D179" i="23"/>
  <c r="D180" i="23"/>
  <c r="D181" i="23"/>
  <c r="D182" i="23"/>
  <c r="D183" i="23"/>
  <c r="D184" i="23"/>
  <c r="D185" i="23"/>
  <c r="D186" i="23"/>
  <c r="D187" i="23"/>
  <c r="D188" i="23"/>
  <c r="D189" i="23"/>
  <c r="D190" i="23"/>
  <c r="D191" i="23"/>
  <c r="D192" i="23"/>
  <c r="D193" i="23"/>
  <c r="D194" i="23"/>
  <c r="D195" i="23"/>
  <c r="D196" i="23"/>
  <c r="D10" i="23"/>
  <c r="D9" i="23"/>
  <c r="J1" i="23"/>
  <c r="C13" i="25" l="1"/>
  <c r="C11" i="25"/>
  <c r="F80" i="22" s="1"/>
  <c r="N78" i="22" l="1"/>
  <c r="N76" i="22"/>
  <c r="N70" i="22"/>
  <c r="Q70" i="22"/>
  <c r="H43" i="23"/>
  <c r="Q50" i="22" l="1"/>
  <c r="Q48" i="22"/>
  <c r="D9" i="25"/>
  <c r="D8" i="25"/>
  <c r="D7" i="25"/>
  <c r="D6" i="25"/>
  <c r="D5" i="25"/>
  <c r="D4" i="25"/>
  <c r="F50" i="22"/>
  <c r="F48" i="22"/>
  <c r="J39" i="25"/>
  <c r="J40" i="25" s="1"/>
  <c r="J37" i="25"/>
  <c r="J38" i="25" s="1"/>
  <c r="BW19" i="22" l="1"/>
  <c r="BX19" i="22"/>
  <c r="BY19" i="22"/>
  <c r="BW22" i="22"/>
  <c r="BX22" i="22"/>
  <c r="BY22" i="22"/>
  <c r="BW26" i="22"/>
  <c r="BX26" i="22"/>
  <c r="BY26" i="22"/>
  <c r="BW27" i="22"/>
  <c r="BX27" i="22"/>
  <c r="BY27" i="22"/>
  <c r="BW28" i="22"/>
  <c r="BX28" i="22"/>
  <c r="BY28" i="22"/>
  <c r="CE28" i="22"/>
  <c r="CF28" i="22"/>
  <c r="BW29" i="22"/>
  <c r="BX29" i="22"/>
  <c r="BY29" i="22"/>
  <c r="CE29" i="22"/>
  <c r="CF29" i="22"/>
  <c r="BW32" i="22"/>
  <c r="BX32" i="22"/>
  <c r="BY32" i="22"/>
  <c r="BW33" i="22"/>
  <c r="BX33" i="22"/>
  <c r="BY33" i="22"/>
  <c r="BW34" i="22"/>
  <c r="BX34" i="22"/>
  <c r="BY34" i="22"/>
  <c r="BW35" i="22"/>
  <c r="BX35" i="22"/>
  <c r="BY35" i="22"/>
  <c r="BW36" i="22"/>
  <c r="BX36" i="22"/>
  <c r="BY36" i="22"/>
  <c r="BW37" i="22"/>
  <c r="BX37" i="22"/>
  <c r="BY37" i="22"/>
  <c r="BW38" i="22"/>
  <c r="BX38" i="22"/>
  <c r="BY38" i="22"/>
  <c r="BW39" i="22"/>
  <c r="BX39" i="22"/>
  <c r="BY39" i="22"/>
  <c r="BW40" i="22"/>
  <c r="BX40" i="22"/>
  <c r="BY40" i="22"/>
  <c r="BW51" i="22"/>
  <c r="BX51" i="22"/>
  <c r="BY51" i="22"/>
  <c r="BW52" i="22"/>
  <c r="BX52" i="22"/>
  <c r="BY52" i="22"/>
  <c r="BW53" i="22"/>
  <c r="BX53" i="22"/>
  <c r="BY53" i="22"/>
  <c r="BW54" i="22"/>
  <c r="BX54" i="22"/>
  <c r="BY54" i="22"/>
  <c r="BW55" i="22"/>
  <c r="BX55" i="22"/>
  <c r="BY55" i="22"/>
  <c r="BW56" i="22"/>
  <c r="BX56" i="22"/>
  <c r="BY56" i="22"/>
  <c r="BW58" i="22"/>
  <c r="BX58" i="22"/>
  <c r="BY58" i="22"/>
  <c r="BW59" i="22"/>
  <c r="BX59" i="22"/>
  <c r="BY59" i="22"/>
  <c r="BW60" i="22"/>
  <c r="BX60" i="22"/>
  <c r="BY60" i="22"/>
  <c r="BW61" i="22"/>
  <c r="BX61" i="22"/>
  <c r="BY61" i="22"/>
  <c r="BW62" i="22"/>
  <c r="BX62" i="22"/>
  <c r="BY62" i="22"/>
  <c r="BW63" i="22"/>
  <c r="BX63" i="22"/>
  <c r="BY63" i="22"/>
  <c r="BW64" i="22"/>
  <c r="BX64" i="22"/>
  <c r="BY64" i="22"/>
  <c r="BW65" i="22"/>
  <c r="BX65" i="22"/>
  <c r="BY65" i="22"/>
  <c r="CG90" i="22"/>
  <c r="CH90" i="22"/>
  <c r="CC91" i="22"/>
  <c r="CC92" i="22" s="1"/>
  <c r="CC93" i="22" s="1"/>
  <c r="CC94" i="22" s="1"/>
  <c r="M26" i="22"/>
  <c r="F25" i="22"/>
  <c r="CI90" i="22" l="1"/>
  <c r="F31" i="22"/>
  <c r="I31" i="22"/>
  <c r="J11" i="25" l="1"/>
  <c r="J12" i="25" s="1"/>
  <c r="J13" i="25" s="1"/>
  <c r="J14" i="25" s="1"/>
  <c r="J15" i="25" s="1"/>
  <c r="J16" i="25" s="1"/>
  <c r="J17" i="25" s="1"/>
  <c r="J18" i="25" s="1"/>
  <c r="J19" i="25" s="1"/>
  <c r="J20" i="25" s="1"/>
  <c r="J21" i="25" s="1"/>
  <c r="J22" i="25" s="1"/>
  <c r="J23" i="25" s="1"/>
  <c r="J24" i="25" s="1"/>
  <c r="J25" i="25" s="1"/>
  <c r="J26" i="25" s="1"/>
  <c r="J27" i="25" s="1"/>
  <c r="J28" i="25" s="1"/>
  <c r="J29" i="25" s="1"/>
  <c r="J30" i="25" s="1"/>
  <c r="J31" i="25" s="1"/>
  <c r="J32" i="25" s="1"/>
  <c r="J33" i="25" s="1"/>
  <c r="J34" i="25" s="1"/>
  <c r="J35" i="25" s="1"/>
  <c r="J36" i="25" s="1"/>
  <c r="J10" i="25"/>
  <c r="J9" i="25"/>
  <c r="A19" i="25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18" i="25"/>
  <c r="H13" i="23" l="1"/>
  <c r="H12" i="23"/>
  <c r="H9" i="23" l="1"/>
  <c r="J13" i="1" l="1"/>
  <c r="O4" i="1" s="1"/>
  <c r="H15" i="23" l="1"/>
  <c r="H21" i="23"/>
  <c r="H25" i="23"/>
  <c r="H29" i="23"/>
  <c r="H33" i="23"/>
  <c r="H37" i="23"/>
  <c r="H41" i="23"/>
  <c r="H45" i="23"/>
  <c r="H49" i="23"/>
  <c r="H53" i="23"/>
  <c r="H57" i="23"/>
  <c r="H61" i="23"/>
  <c r="H65" i="23"/>
  <c r="H69" i="23"/>
  <c r="H73" i="23"/>
  <c r="H77" i="23"/>
  <c r="H81" i="23"/>
  <c r="H85" i="23"/>
  <c r="H89" i="23"/>
  <c r="H93" i="23"/>
  <c r="H97" i="23"/>
  <c r="H101" i="23"/>
  <c r="H105" i="23"/>
  <c r="H109" i="23"/>
  <c r="H115" i="23"/>
  <c r="H119" i="23"/>
  <c r="H123" i="23"/>
  <c r="H127" i="23"/>
  <c r="H131" i="23"/>
  <c r="H83" i="23"/>
  <c r="H91" i="23"/>
  <c r="H99" i="23"/>
  <c r="H107" i="23"/>
  <c r="H113" i="23"/>
  <c r="H121" i="23"/>
  <c r="H125" i="23"/>
  <c r="H11" i="23"/>
  <c r="H18" i="23"/>
  <c r="H24" i="23"/>
  <c r="H32" i="23"/>
  <c r="H36" i="23"/>
  <c r="H44" i="23"/>
  <c r="H56" i="23"/>
  <c r="H64" i="23"/>
  <c r="H72" i="23"/>
  <c r="H80" i="23"/>
  <c r="H88" i="23"/>
  <c r="H96" i="23"/>
  <c r="H104" i="23"/>
  <c r="H112" i="23"/>
  <c r="H118" i="23"/>
  <c r="H130" i="23"/>
  <c r="H16" i="23"/>
  <c r="H22" i="23"/>
  <c r="H26" i="23"/>
  <c r="H30" i="23"/>
  <c r="H34" i="23"/>
  <c r="H38" i="23"/>
  <c r="H42" i="23"/>
  <c r="H46" i="23"/>
  <c r="H50" i="23"/>
  <c r="H54" i="23"/>
  <c r="H58" i="23"/>
  <c r="H62" i="23"/>
  <c r="H66" i="23"/>
  <c r="H70" i="23"/>
  <c r="H74" i="23"/>
  <c r="H78" i="23"/>
  <c r="H82" i="23"/>
  <c r="H86" i="23"/>
  <c r="H90" i="23"/>
  <c r="H94" i="23"/>
  <c r="H98" i="23"/>
  <c r="H102" i="23"/>
  <c r="H106" i="23"/>
  <c r="H110" i="23"/>
  <c r="H116" i="23"/>
  <c r="H120" i="23"/>
  <c r="H124" i="23"/>
  <c r="H128" i="23"/>
  <c r="H10" i="23"/>
  <c r="H14" i="23"/>
  <c r="H17" i="23"/>
  <c r="H19" i="23"/>
  <c r="H23" i="23"/>
  <c r="H27" i="23"/>
  <c r="H31" i="23"/>
  <c r="H35" i="23"/>
  <c r="H39" i="23"/>
  <c r="H47" i="23"/>
  <c r="H51" i="23"/>
  <c r="H55" i="23"/>
  <c r="H59" i="23"/>
  <c r="H63" i="23"/>
  <c r="H67" i="23"/>
  <c r="H71" i="23"/>
  <c r="H75" i="23"/>
  <c r="H79" i="23"/>
  <c r="H87" i="23"/>
  <c r="H95" i="23"/>
  <c r="H103" i="23"/>
  <c r="H111" i="23"/>
  <c r="H117" i="23"/>
  <c r="H129" i="23"/>
  <c r="H20" i="23"/>
  <c r="H28" i="23"/>
  <c r="H40" i="23"/>
  <c r="H48" i="23"/>
  <c r="H52" i="23"/>
  <c r="H60" i="23"/>
  <c r="H68" i="23"/>
  <c r="H76" i="23"/>
  <c r="H84" i="23"/>
  <c r="H92" i="23"/>
  <c r="H100" i="23"/>
  <c r="H108" i="23"/>
  <c r="H114" i="23"/>
  <c r="H122" i="23"/>
  <c r="H126" i="23"/>
  <c r="H133" i="23"/>
  <c r="H137" i="23"/>
  <c r="H141" i="23"/>
  <c r="H145" i="23"/>
  <c r="H149" i="23"/>
  <c r="H153" i="23"/>
  <c r="H157" i="23"/>
  <c r="H161" i="23"/>
  <c r="H165" i="23"/>
  <c r="H169" i="23"/>
  <c r="H173" i="23"/>
  <c r="H177" i="23"/>
  <c r="H181" i="23"/>
  <c r="H185" i="23"/>
  <c r="H189" i="23"/>
  <c r="H193" i="23"/>
  <c r="H134" i="23"/>
  <c r="H138" i="23"/>
  <c r="H142" i="23"/>
  <c r="H146" i="23"/>
  <c r="H150" i="23"/>
  <c r="H154" i="23"/>
  <c r="H158" i="23"/>
  <c r="H162" i="23"/>
  <c r="H166" i="23"/>
  <c r="H170" i="23"/>
  <c r="H174" i="23"/>
  <c r="H178" i="23"/>
  <c r="H182" i="23"/>
  <c r="H186" i="23"/>
  <c r="H190" i="23"/>
  <c r="H194" i="23"/>
  <c r="H135" i="23"/>
  <c r="H139" i="23"/>
  <c r="H143" i="23"/>
  <c r="H147" i="23"/>
  <c r="H151" i="23"/>
  <c r="H155" i="23"/>
  <c r="H159" i="23"/>
  <c r="H163" i="23"/>
  <c r="H167" i="23"/>
  <c r="H171" i="23"/>
  <c r="H175" i="23"/>
  <c r="H179" i="23"/>
  <c r="H183" i="23"/>
  <c r="H187" i="23"/>
  <c r="H191" i="23"/>
  <c r="H195" i="23"/>
  <c r="H136" i="23"/>
  <c r="H140" i="23"/>
  <c r="H156" i="23"/>
  <c r="H172" i="23"/>
  <c r="H188" i="23"/>
  <c r="H168" i="23"/>
  <c r="H144" i="23"/>
  <c r="H160" i="23"/>
  <c r="H176" i="23"/>
  <c r="H192" i="23"/>
  <c r="H132" i="23"/>
  <c r="H152" i="23"/>
  <c r="H148" i="23"/>
  <c r="H164" i="23"/>
  <c r="H180" i="23"/>
  <c r="H196" i="23"/>
  <c r="H184" i="23"/>
  <c r="N72" i="22" l="1"/>
  <c r="N68" i="22"/>
  <c r="N66" i="22"/>
  <c r="N80" i="22" l="1"/>
  <c r="Q117" i="22"/>
  <c r="D32" i="22"/>
  <c r="O16" i="1" l="1"/>
  <c r="F32" i="22" s="1"/>
  <c r="D33" i="22" l="1"/>
  <c r="M34" i="22"/>
  <c r="G29" i="1" l="1"/>
  <c r="C14" i="1" l="1"/>
  <c r="M14" i="22"/>
  <c r="G32" i="22"/>
  <c r="F46" i="22" l="1"/>
  <c r="F44" i="22"/>
  <c r="F52" i="22"/>
  <c r="Q55" i="22"/>
  <c r="Q52" i="22"/>
  <c r="Q46" i="22"/>
  <c r="Q44" i="22"/>
  <c r="Q42" i="22"/>
  <c r="Q40" i="22"/>
  <c r="D16" i="25"/>
  <c r="N74" i="22"/>
  <c r="Q66" i="22"/>
  <c r="H10" i="22" l="1"/>
  <c r="L66" i="22" s="1"/>
  <c r="L70" i="22" s="1"/>
  <c r="H40" i="22" l="1"/>
  <c r="L74" i="22"/>
  <c r="L68" i="22" l="1"/>
  <c r="L72" i="22"/>
  <c r="R25" i="1" l="1"/>
  <c r="O32" i="1"/>
  <c r="Q32" i="1" s="1"/>
  <c r="T29" i="1"/>
  <c r="E81" i="19" l="1"/>
  <c r="I55" i="22" l="1"/>
  <c r="H11" i="1"/>
  <c r="H12" i="1"/>
  <c r="H13" i="1"/>
  <c r="G14" i="1"/>
  <c r="H14" i="1" s="1"/>
  <c r="F58" i="22" l="1"/>
  <c r="I52" i="22"/>
  <c r="E18" i="19" l="1"/>
  <c r="E19" i="19"/>
  <c r="O9" i="1" l="1"/>
  <c r="AJ90" i="22" l="1"/>
  <c r="AL90" i="22" s="1"/>
  <c r="X38" i="22" l="1"/>
  <c r="M27" i="22" l="1"/>
  <c r="C15" i="1" l="1"/>
  <c r="C16" i="1"/>
  <c r="C17" i="1"/>
  <c r="G27" i="22"/>
  <c r="G38" i="1"/>
  <c r="E52" i="22"/>
  <c r="V10" i="24"/>
  <c r="X17" i="24"/>
  <c r="X18" i="24"/>
  <c r="X19" i="24"/>
  <c r="X20" i="24"/>
  <c r="X21" i="24"/>
  <c r="X22" i="24"/>
  <c r="X23" i="24"/>
  <c r="X24" i="24"/>
  <c r="X25" i="24"/>
  <c r="X26" i="24"/>
  <c r="X16" i="24"/>
  <c r="F40" i="22"/>
  <c r="F42" i="22"/>
  <c r="E55" i="22"/>
  <c r="F55" i="22"/>
  <c r="E58" i="22"/>
  <c r="J6" i="1"/>
  <c r="N83" i="22"/>
  <c r="J21" i="1"/>
  <c r="W4" i="1"/>
  <c r="E46" i="19"/>
  <c r="J5" i="22"/>
  <c r="I47" i="19"/>
  <c r="I46" i="19"/>
  <c r="K12" i="24"/>
  <c r="O3" i="1"/>
  <c r="J19" i="1" s="1"/>
  <c r="O8" i="1" s="1"/>
  <c r="G100" i="22"/>
  <c r="J8" i="24"/>
  <c r="B2" i="25"/>
  <c r="D21" i="19"/>
  <c r="D20" i="19"/>
  <c r="D19" i="19"/>
  <c r="D18" i="19"/>
  <c r="D17" i="19"/>
  <c r="I45" i="19"/>
  <c r="E45" i="19"/>
  <c r="A45" i="19" s="1"/>
  <c r="I44" i="19"/>
  <c r="I43" i="19"/>
  <c r="E43" i="19"/>
  <c r="A43" i="19" s="1"/>
  <c r="I42" i="19"/>
  <c r="E42" i="19"/>
  <c r="A42" i="19" s="1"/>
  <c r="I41" i="19"/>
  <c r="I40" i="19"/>
  <c r="E41" i="19"/>
  <c r="A41" i="19" s="1"/>
  <c r="E40" i="19"/>
  <c r="A40" i="19" s="1"/>
  <c r="B11" i="24"/>
  <c r="B12" i="24"/>
  <c r="B13" i="24"/>
  <c r="E21" i="19"/>
  <c r="A20" i="19" s="1"/>
  <c r="M22" i="19"/>
  <c r="M23" i="19"/>
  <c r="M24" i="19"/>
  <c r="M25" i="19"/>
  <c r="M26" i="19"/>
  <c r="M27" i="19"/>
  <c r="M28" i="19"/>
  <c r="M29" i="19"/>
  <c r="M30" i="19"/>
  <c r="M31" i="19"/>
  <c r="M32" i="19"/>
  <c r="E39" i="19"/>
  <c r="A39" i="19" s="1"/>
  <c r="I39" i="19"/>
  <c r="D40" i="19"/>
  <c r="D41" i="19"/>
  <c r="D42" i="19"/>
  <c r="E47" i="19"/>
  <c r="A47" i="19" s="1"/>
  <c r="M51" i="19"/>
  <c r="R51" i="19" s="1"/>
  <c r="M52" i="19"/>
  <c r="R52" i="19" s="1"/>
  <c r="M53" i="19"/>
  <c r="R53" i="19" s="1"/>
  <c r="M54" i="19"/>
  <c r="R54" i="19" s="1"/>
  <c r="M55" i="19"/>
  <c r="R55" i="19" s="1"/>
  <c r="M56" i="19"/>
  <c r="R56" i="19" s="1"/>
  <c r="M57" i="19"/>
  <c r="R57" i="19" s="1"/>
  <c r="M58" i="19"/>
  <c r="R58" i="19" s="1"/>
  <c r="M59" i="19"/>
  <c r="R59" i="19" s="1"/>
  <c r="O26" i="1"/>
  <c r="O28" i="1"/>
  <c r="R29" i="1"/>
  <c r="R28" i="1"/>
  <c r="R27" i="1"/>
  <c r="O27" i="1"/>
  <c r="R26" i="1"/>
  <c r="O25" i="1"/>
  <c r="R24" i="1"/>
  <c r="O24" i="1"/>
  <c r="R23" i="1"/>
  <c r="G5" i="19"/>
  <c r="D49" i="19"/>
  <c r="A49" i="19"/>
  <c r="R60" i="19"/>
  <c r="N86" i="22"/>
  <c r="N88" i="22"/>
  <c r="D48" i="19"/>
  <c r="A48" i="19"/>
  <c r="D46" i="19"/>
  <c r="D44" i="19"/>
  <c r="F11" i="24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G11" i="24"/>
  <c r="G12" i="24" s="1"/>
  <c r="G13" i="24" s="1"/>
  <c r="G14" i="24" s="1"/>
  <c r="G15" i="24" s="1"/>
  <c r="G16" i="24" s="1"/>
  <c r="G17" i="24" s="1"/>
  <c r="G18" i="24" s="1"/>
  <c r="G19" i="24" s="1"/>
  <c r="G20" i="24" s="1"/>
  <c r="G21" i="24" s="1"/>
  <c r="G22" i="24" s="1"/>
  <c r="G23" i="24" s="1"/>
  <c r="I12" i="24"/>
  <c r="N11" i="24"/>
  <c r="N12" i="24" s="1"/>
  <c r="N13" i="24" s="1"/>
  <c r="N14" i="24" s="1"/>
  <c r="N15" i="24" s="1"/>
  <c r="N16" i="24" s="1"/>
  <c r="N17" i="24" s="1"/>
  <c r="N18" i="24" s="1"/>
  <c r="N19" i="24" s="1"/>
  <c r="N20" i="24" s="1"/>
  <c r="N21" i="24" s="1"/>
  <c r="N22" i="24" s="1"/>
  <c r="N23" i="24" s="1"/>
  <c r="H10" i="24"/>
  <c r="H11" i="24" s="1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I14" i="24"/>
  <c r="M12" i="24"/>
  <c r="I23" i="24"/>
  <c r="I22" i="24"/>
  <c r="I21" i="24"/>
  <c r="I20" i="24"/>
  <c r="I19" i="24"/>
  <c r="I18" i="24"/>
  <c r="I17" i="24"/>
  <c r="I16" i="24"/>
  <c r="I15" i="24"/>
  <c r="I13" i="24"/>
  <c r="I11" i="24"/>
  <c r="I10" i="24"/>
  <c r="M11" i="24"/>
  <c r="M23" i="24"/>
  <c r="M22" i="24"/>
  <c r="M21" i="24"/>
  <c r="M20" i="24"/>
  <c r="M19" i="24"/>
  <c r="M18" i="24"/>
  <c r="M17" i="24"/>
  <c r="M16" i="24"/>
  <c r="M15" i="24"/>
  <c r="M14" i="24"/>
  <c r="M13" i="24"/>
  <c r="K23" i="24"/>
  <c r="K22" i="24"/>
  <c r="K21" i="24"/>
  <c r="K20" i="24"/>
  <c r="K19" i="24"/>
  <c r="K18" i="24"/>
  <c r="K17" i="24"/>
  <c r="K16" i="24"/>
  <c r="K15" i="24"/>
  <c r="J23" i="24"/>
  <c r="J22" i="24"/>
  <c r="J21" i="24"/>
  <c r="J20" i="24"/>
  <c r="J19" i="24"/>
  <c r="J18" i="24"/>
  <c r="J17" i="24"/>
  <c r="J16" i="24"/>
  <c r="J15" i="24"/>
  <c r="B23" i="24"/>
  <c r="B22" i="24"/>
  <c r="B21" i="24"/>
  <c r="B20" i="24"/>
  <c r="B19" i="24"/>
  <c r="B18" i="24"/>
  <c r="B17" i="24"/>
  <c r="B16" i="24"/>
  <c r="B15" i="24"/>
  <c r="B14" i="24"/>
  <c r="D11" i="24"/>
  <c r="E11" i="24" s="1"/>
  <c r="AG42" i="24"/>
  <c r="AG43" i="24"/>
  <c r="AG44" i="24"/>
  <c r="AG45" i="24"/>
  <c r="AG46" i="24"/>
  <c r="AG47" i="24"/>
  <c r="AG48" i="24"/>
  <c r="AG49" i="24"/>
  <c r="AG50" i="24"/>
  <c r="AG51" i="24"/>
  <c r="AG52" i="24"/>
  <c r="AG53" i="24"/>
  <c r="AG54" i="24"/>
  <c r="AG55" i="24"/>
  <c r="AG56" i="24"/>
  <c r="AG57" i="24"/>
  <c r="AG58" i="24"/>
  <c r="AG59" i="24"/>
  <c r="AG60" i="24"/>
  <c r="AG61" i="24"/>
  <c r="AG62" i="24"/>
  <c r="AG63" i="24"/>
  <c r="AG64" i="24"/>
  <c r="AG65" i="24"/>
  <c r="AG66" i="24"/>
  <c r="AG67" i="24"/>
  <c r="M33" i="19"/>
  <c r="M10" i="24"/>
  <c r="AG68" i="24"/>
  <c r="AG69" i="24"/>
  <c r="AG70" i="24"/>
  <c r="AG71" i="24"/>
  <c r="AG72" i="24"/>
  <c r="AG73" i="24"/>
  <c r="AG74" i="24"/>
  <c r="AG75" i="24"/>
  <c r="AG76" i="24"/>
  <c r="AG77" i="24"/>
  <c r="AG78" i="24"/>
  <c r="AG79" i="24"/>
  <c r="AG80" i="24"/>
  <c r="AG81" i="24"/>
  <c r="E10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E69" i="24"/>
  <c r="CE68" i="24"/>
  <c r="CE67" i="24"/>
  <c r="CE66" i="24"/>
  <c r="CE65" i="24"/>
  <c r="CE64" i="24"/>
  <c r="CE63" i="24"/>
  <c r="CE62" i="24"/>
  <c r="CE61" i="24"/>
  <c r="CE60" i="24"/>
  <c r="CE59" i="24"/>
  <c r="CE58" i="24"/>
  <c r="CE57" i="24"/>
  <c r="CE56" i="24"/>
  <c r="CE55" i="24"/>
  <c r="CE54" i="24"/>
  <c r="CE53" i="24"/>
  <c r="CE52" i="24"/>
  <c r="CE51" i="24"/>
  <c r="CE50" i="24"/>
  <c r="CE49" i="24"/>
  <c r="CE48" i="24"/>
  <c r="CE47" i="24"/>
  <c r="CE46" i="24"/>
  <c r="CE45" i="24"/>
  <c r="CE44" i="24"/>
  <c r="CE43" i="24"/>
  <c r="CE42" i="24"/>
  <c r="BZ81" i="24"/>
  <c r="BZ80" i="24"/>
  <c r="BZ79" i="24"/>
  <c r="BZ78" i="24"/>
  <c r="BZ77" i="24"/>
  <c r="BZ76" i="24"/>
  <c r="BZ75" i="24"/>
  <c r="BZ74" i="24"/>
  <c r="BZ73" i="24"/>
  <c r="BZ72" i="24"/>
  <c r="BZ71" i="24"/>
  <c r="BZ70" i="24"/>
  <c r="BZ69" i="24"/>
  <c r="BZ68" i="24"/>
  <c r="BZ67" i="24"/>
  <c r="BZ66" i="24"/>
  <c r="BZ65" i="24"/>
  <c r="BZ64" i="24"/>
  <c r="BZ63" i="24"/>
  <c r="BZ62" i="24"/>
  <c r="BZ61" i="24"/>
  <c r="BZ60" i="24"/>
  <c r="BZ59" i="24"/>
  <c r="BZ58" i="24"/>
  <c r="BZ57" i="24"/>
  <c r="BZ56" i="24"/>
  <c r="BZ55" i="24"/>
  <c r="BZ54" i="24"/>
  <c r="BZ53" i="24"/>
  <c r="BZ52" i="24"/>
  <c r="BZ51" i="24"/>
  <c r="BZ50" i="24"/>
  <c r="BZ49" i="24"/>
  <c r="BZ48" i="24"/>
  <c r="BZ47" i="24"/>
  <c r="BZ46" i="24"/>
  <c r="BZ45" i="24"/>
  <c r="BZ44" i="24"/>
  <c r="BZ43" i="24"/>
  <c r="BZ42" i="24"/>
  <c r="BU81" i="24"/>
  <c r="BU80" i="24"/>
  <c r="BU79" i="24"/>
  <c r="BU78" i="24"/>
  <c r="BU77" i="24"/>
  <c r="BU76" i="24"/>
  <c r="BU75" i="24"/>
  <c r="BU74" i="24"/>
  <c r="BU73" i="24"/>
  <c r="BU72" i="24"/>
  <c r="BU71" i="24"/>
  <c r="BU70" i="24"/>
  <c r="BU69" i="24"/>
  <c r="BU68" i="24"/>
  <c r="BU67" i="24"/>
  <c r="BU66" i="24"/>
  <c r="BU65" i="24"/>
  <c r="BU64" i="24"/>
  <c r="BU63" i="24"/>
  <c r="BU62" i="24"/>
  <c r="BU61" i="24"/>
  <c r="BU60" i="24"/>
  <c r="BU59" i="24"/>
  <c r="BU58" i="24"/>
  <c r="BU57" i="24"/>
  <c r="BU56" i="24"/>
  <c r="BU55" i="24"/>
  <c r="BU54" i="24"/>
  <c r="BU53" i="24"/>
  <c r="BU52" i="24"/>
  <c r="BU51" i="24"/>
  <c r="BU50" i="24"/>
  <c r="BU49" i="24"/>
  <c r="BU48" i="24"/>
  <c r="BU47" i="24"/>
  <c r="BU46" i="24"/>
  <c r="BU45" i="24"/>
  <c r="BU44" i="24"/>
  <c r="BU43" i="24"/>
  <c r="BU42" i="24"/>
  <c r="BP81" i="24"/>
  <c r="BP80" i="24"/>
  <c r="BP79" i="24"/>
  <c r="BP78" i="24"/>
  <c r="BP77" i="24"/>
  <c r="BP76" i="24"/>
  <c r="BP75" i="24"/>
  <c r="BP74" i="24"/>
  <c r="BP73" i="24"/>
  <c r="BP72" i="24"/>
  <c r="BP71" i="24"/>
  <c r="BP70" i="24"/>
  <c r="BP69" i="24"/>
  <c r="BP68" i="24"/>
  <c r="BP67" i="24"/>
  <c r="BP66" i="24"/>
  <c r="BP65" i="24"/>
  <c r="BP64" i="24"/>
  <c r="BP63" i="24"/>
  <c r="BP62" i="24"/>
  <c r="BP61" i="24"/>
  <c r="BP60" i="24"/>
  <c r="BP59" i="24"/>
  <c r="BP58" i="24"/>
  <c r="BP57" i="24"/>
  <c r="BP56" i="24"/>
  <c r="BP55" i="24"/>
  <c r="BP54" i="24"/>
  <c r="BP53" i="24"/>
  <c r="BP52" i="24"/>
  <c r="BP51" i="24"/>
  <c r="BP50" i="24"/>
  <c r="BP49" i="24"/>
  <c r="BP48" i="24"/>
  <c r="BP47" i="24"/>
  <c r="BP46" i="24"/>
  <c r="BP45" i="24"/>
  <c r="BP44" i="24"/>
  <c r="BP43" i="24"/>
  <c r="BP42" i="24"/>
  <c r="BK81" i="24"/>
  <c r="BK80" i="24"/>
  <c r="BK79" i="24"/>
  <c r="BK78" i="24"/>
  <c r="BK77" i="24"/>
  <c r="BK76" i="24"/>
  <c r="BK75" i="24"/>
  <c r="BK74" i="24"/>
  <c r="BK73" i="24"/>
  <c r="BK72" i="24"/>
  <c r="BK71" i="24"/>
  <c r="BK70" i="24"/>
  <c r="BK69" i="24"/>
  <c r="BK68" i="24"/>
  <c r="BK67" i="24"/>
  <c r="BK66" i="24"/>
  <c r="BK65" i="24"/>
  <c r="BK64" i="24"/>
  <c r="BK63" i="24"/>
  <c r="BK62" i="24"/>
  <c r="BK61" i="24"/>
  <c r="BK60" i="24"/>
  <c r="BK59" i="24"/>
  <c r="BK58" i="24"/>
  <c r="BK57" i="24"/>
  <c r="BK56" i="24"/>
  <c r="BK55" i="24"/>
  <c r="BK54" i="24"/>
  <c r="BK53" i="24"/>
  <c r="BK52" i="24"/>
  <c r="BK51" i="24"/>
  <c r="BK50" i="24"/>
  <c r="BK49" i="24"/>
  <c r="BK48" i="24"/>
  <c r="BK47" i="24"/>
  <c r="BK46" i="24"/>
  <c r="BK45" i="24"/>
  <c r="BK44" i="24"/>
  <c r="BK43" i="24"/>
  <c r="BK42" i="24"/>
  <c r="BF81" i="24"/>
  <c r="BF80" i="24"/>
  <c r="BF79" i="24"/>
  <c r="BF78" i="24"/>
  <c r="BF77" i="24"/>
  <c r="BF76" i="24"/>
  <c r="BF75" i="24"/>
  <c r="BF74" i="24"/>
  <c r="BF73" i="24"/>
  <c r="BF72" i="24"/>
  <c r="BF71" i="24"/>
  <c r="BF70" i="24"/>
  <c r="BF69" i="24"/>
  <c r="BF68" i="24"/>
  <c r="BF67" i="24"/>
  <c r="BF66" i="24"/>
  <c r="BF65" i="24"/>
  <c r="BF64" i="24"/>
  <c r="BF63" i="24"/>
  <c r="BF62" i="24"/>
  <c r="BF61" i="24"/>
  <c r="BF60" i="24"/>
  <c r="BF59" i="24"/>
  <c r="BF58" i="24"/>
  <c r="BF57" i="24"/>
  <c r="BF56" i="24"/>
  <c r="BF55" i="24"/>
  <c r="BF54" i="24"/>
  <c r="BF53" i="24"/>
  <c r="BF52" i="24"/>
  <c r="BF51" i="24"/>
  <c r="BF50" i="24"/>
  <c r="BF49" i="24"/>
  <c r="BF48" i="24"/>
  <c r="BF47" i="24"/>
  <c r="BF46" i="24"/>
  <c r="BF45" i="24"/>
  <c r="BF44" i="24"/>
  <c r="BF43" i="24"/>
  <c r="BF42" i="24"/>
  <c r="BA81" i="24"/>
  <c r="BA80" i="24"/>
  <c r="BA79" i="24"/>
  <c r="BA78" i="24"/>
  <c r="BA77" i="24"/>
  <c r="BA76" i="24"/>
  <c r="BA75" i="24"/>
  <c r="BA74" i="24"/>
  <c r="BA73" i="24"/>
  <c r="BA72" i="24"/>
  <c r="BA71" i="24"/>
  <c r="BA70" i="24"/>
  <c r="BA69" i="24"/>
  <c r="BA68" i="24"/>
  <c r="BA67" i="24"/>
  <c r="BA66" i="24"/>
  <c r="BA65" i="24"/>
  <c r="BA64" i="24"/>
  <c r="BA63" i="24"/>
  <c r="BA62" i="24"/>
  <c r="BA61" i="24"/>
  <c r="BA60" i="24"/>
  <c r="BA59" i="24"/>
  <c r="BA58" i="24"/>
  <c r="BA57" i="24"/>
  <c r="BA56" i="24"/>
  <c r="BA55" i="24"/>
  <c r="BA54" i="24"/>
  <c r="BA53" i="24"/>
  <c r="BA52" i="24"/>
  <c r="BA51" i="24"/>
  <c r="BA50" i="24"/>
  <c r="BA49" i="24"/>
  <c r="BA48" i="24"/>
  <c r="BA47" i="24"/>
  <c r="BA46" i="24"/>
  <c r="BA45" i="24"/>
  <c r="BA44" i="24"/>
  <c r="BA43" i="24"/>
  <c r="BA42" i="24"/>
  <c r="AV81" i="24"/>
  <c r="AV80" i="24"/>
  <c r="AV79" i="24"/>
  <c r="AV78" i="24"/>
  <c r="AV77" i="24"/>
  <c r="AV76" i="24"/>
  <c r="AV75" i="24"/>
  <c r="AV74" i="24"/>
  <c r="AV73" i="24"/>
  <c r="AV72" i="24"/>
  <c r="AV71" i="24"/>
  <c r="AV70" i="24"/>
  <c r="AV69" i="24"/>
  <c r="AV68" i="24"/>
  <c r="AV67" i="24"/>
  <c r="AV66" i="24"/>
  <c r="AV65" i="24"/>
  <c r="AV64" i="24"/>
  <c r="AV63" i="24"/>
  <c r="AV62" i="24"/>
  <c r="AV61" i="24"/>
  <c r="AV60" i="24"/>
  <c r="AV59" i="24"/>
  <c r="AV58" i="24"/>
  <c r="AV57" i="24"/>
  <c r="AV56" i="24"/>
  <c r="AV55" i="24"/>
  <c r="AV54" i="24"/>
  <c r="AV53" i="24"/>
  <c r="AV52" i="24"/>
  <c r="AV51" i="24"/>
  <c r="AV50" i="24"/>
  <c r="AV49" i="24"/>
  <c r="AV48" i="24"/>
  <c r="AV47" i="24"/>
  <c r="AV46" i="24"/>
  <c r="AV45" i="24"/>
  <c r="AV44" i="24"/>
  <c r="AV43" i="24"/>
  <c r="AV42" i="24"/>
  <c r="AQ81" i="24"/>
  <c r="AQ80" i="24"/>
  <c r="AQ79" i="24"/>
  <c r="AQ78" i="24"/>
  <c r="AQ77" i="24"/>
  <c r="AQ76" i="24"/>
  <c r="AQ75" i="24"/>
  <c r="AQ74" i="24"/>
  <c r="AQ73" i="24"/>
  <c r="AQ72" i="24"/>
  <c r="AQ71" i="24"/>
  <c r="AQ70" i="24"/>
  <c r="AQ69" i="24"/>
  <c r="AQ68" i="24"/>
  <c r="AQ67" i="24"/>
  <c r="AQ66" i="24"/>
  <c r="AQ65" i="24"/>
  <c r="AQ64" i="24"/>
  <c r="AQ63" i="24"/>
  <c r="AQ62" i="24"/>
  <c r="AQ61" i="24"/>
  <c r="AQ60" i="24"/>
  <c r="AQ59" i="24"/>
  <c r="AQ58" i="24"/>
  <c r="AQ57" i="24"/>
  <c r="AQ56" i="24"/>
  <c r="AQ55" i="24"/>
  <c r="AQ54" i="24"/>
  <c r="AQ53" i="24"/>
  <c r="AQ52" i="24"/>
  <c r="AQ51" i="24"/>
  <c r="AQ50" i="24"/>
  <c r="AQ49" i="24"/>
  <c r="AQ48" i="24"/>
  <c r="AQ47" i="24"/>
  <c r="AQ46" i="24"/>
  <c r="AQ45" i="24"/>
  <c r="AQ44" i="24"/>
  <c r="AQ43" i="24"/>
  <c r="AQ42" i="24"/>
  <c r="AL81" i="24"/>
  <c r="AL80" i="24"/>
  <c r="AL79" i="24"/>
  <c r="AL78" i="24"/>
  <c r="AL77" i="24"/>
  <c r="AL76" i="24"/>
  <c r="AL75" i="24"/>
  <c r="AL74" i="24"/>
  <c r="AL73" i="24"/>
  <c r="AL72" i="24"/>
  <c r="AL71" i="24"/>
  <c r="AL70" i="24"/>
  <c r="AL69" i="24"/>
  <c r="AL68" i="24"/>
  <c r="AL67" i="24"/>
  <c r="AL66" i="24"/>
  <c r="AL65" i="24"/>
  <c r="AL64" i="24"/>
  <c r="AL63" i="24"/>
  <c r="AL62" i="24"/>
  <c r="AL61" i="24"/>
  <c r="AL60" i="24"/>
  <c r="AL59" i="24"/>
  <c r="AL58" i="24"/>
  <c r="AL57" i="24"/>
  <c r="AL56" i="24"/>
  <c r="AL55" i="24"/>
  <c r="AL54" i="24"/>
  <c r="AL53" i="24"/>
  <c r="AL52" i="24"/>
  <c r="AL51" i="24"/>
  <c r="AL50" i="24"/>
  <c r="AL49" i="24"/>
  <c r="AL48" i="24"/>
  <c r="AL47" i="24"/>
  <c r="AL46" i="24"/>
  <c r="AL45" i="24"/>
  <c r="AL44" i="24"/>
  <c r="AL43" i="24"/>
  <c r="AL42" i="24"/>
  <c r="H16" i="1"/>
  <c r="H15" i="1"/>
  <c r="J51" i="19"/>
  <c r="J52" i="19"/>
  <c r="J53" i="19"/>
  <c r="J54" i="19"/>
  <c r="J55" i="19"/>
  <c r="J56" i="19"/>
  <c r="J57" i="19"/>
  <c r="J58" i="19"/>
  <c r="J59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D22" i="19"/>
  <c r="D23" i="19"/>
  <c r="D24" i="19"/>
  <c r="D25" i="19"/>
  <c r="D26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D33" i="19"/>
  <c r="L3" i="19"/>
  <c r="C16" i="19"/>
  <c r="D16" i="19"/>
  <c r="C17" i="19"/>
  <c r="C18" i="19"/>
  <c r="C19" i="19"/>
  <c r="C20" i="19"/>
  <c r="C21" i="19"/>
  <c r="C22" i="19"/>
  <c r="C23" i="19"/>
  <c r="C24" i="19"/>
  <c r="C25" i="19"/>
  <c r="C26" i="19"/>
  <c r="C27" i="19"/>
  <c r="D27" i="19"/>
  <c r="C28" i="19"/>
  <c r="D28" i="19"/>
  <c r="C29" i="19"/>
  <c r="D29" i="19"/>
  <c r="C30" i="19"/>
  <c r="D30" i="19"/>
  <c r="C31" i="19"/>
  <c r="D31" i="19"/>
  <c r="C32" i="19"/>
  <c r="D32" i="19"/>
  <c r="C33" i="19"/>
  <c r="D39" i="19"/>
  <c r="D43" i="19"/>
  <c r="D45" i="19"/>
  <c r="D47" i="19"/>
  <c r="A50" i="19"/>
  <c r="D50" i="19"/>
  <c r="A51" i="19"/>
  <c r="D51" i="19"/>
  <c r="A52" i="19"/>
  <c r="D52" i="19"/>
  <c r="A53" i="19"/>
  <c r="D53" i="19"/>
  <c r="A54" i="19"/>
  <c r="D54" i="19"/>
  <c r="A55" i="19"/>
  <c r="D55" i="19"/>
  <c r="A56" i="19"/>
  <c r="D56" i="19"/>
  <c r="A57" i="19"/>
  <c r="D57" i="19"/>
  <c r="A58" i="19"/>
  <c r="D58" i="19"/>
  <c r="A59" i="19"/>
  <c r="D59" i="19"/>
  <c r="A60" i="19"/>
  <c r="D60" i="19"/>
  <c r="A61" i="19"/>
  <c r="E69" i="19"/>
  <c r="H70" i="19"/>
  <c r="I70" i="19"/>
  <c r="K70" i="19"/>
  <c r="K13" i="24"/>
  <c r="K14" i="24"/>
  <c r="Q86" i="22"/>
  <c r="K10" i="19"/>
  <c r="AJ10" i="24"/>
  <c r="J14" i="24" s="1"/>
  <c r="J13" i="24"/>
  <c r="J12" i="24"/>
  <c r="D2" i="23"/>
  <c r="A17" i="19"/>
  <c r="I156" i="22"/>
  <c r="U10" i="24"/>
  <c r="J11" i="24" s="1"/>
  <c r="J10" i="24"/>
  <c r="D12" i="24"/>
  <c r="E12" i="24" s="1"/>
  <c r="D3" i="23" l="1"/>
  <c r="G17" i="1"/>
  <c r="J9" i="1"/>
  <c r="E27" i="22" s="1"/>
  <c r="E29" i="22" s="1"/>
  <c r="R32" i="1"/>
  <c r="H42" i="22"/>
  <c r="H48" i="22" s="1"/>
  <c r="H58" i="22"/>
  <c r="H46" i="22"/>
  <c r="H55" i="22"/>
  <c r="L17" i="1"/>
  <c r="M17" i="1" s="1"/>
  <c r="H52" i="22"/>
  <c r="L19" i="1"/>
  <c r="M19" i="1" s="1"/>
  <c r="D7" i="23"/>
  <c r="J42" i="19"/>
  <c r="J40" i="19"/>
  <c r="J46" i="19"/>
  <c r="J41" i="19"/>
  <c r="D2" i="25"/>
  <c r="E2" i="25"/>
  <c r="G20" i="1"/>
  <c r="H20" i="1" s="1"/>
  <c r="C2" i="25"/>
  <c r="J39" i="19"/>
  <c r="D13" i="24"/>
  <c r="E13" i="24" s="1"/>
  <c r="J43" i="19"/>
  <c r="I157" i="22"/>
  <c r="X40" i="22"/>
  <c r="I158" i="22"/>
  <c r="J47" i="19"/>
  <c r="A46" i="19"/>
  <c r="J45" i="19"/>
  <c r="G10" i="19"/>
  <c r="H156" i="22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S8" i="1"/>
  <c r="S6" i="1"/>
  <c r="C7" i="23"/>
  <c r="M8" i="22" s="1"/>
  <c r="F7" i="23"/>
  <c r="I48" i="19"/>
  <c r="J48" i="19" s="1"/>
  <c r="E7" i="23"/>
  <c r="K9" i="19"/>
  <c r="F94" i="22" l="1"/>
  <c r="L48" i="22"/>
  <c r="N48" i="22" s="1"/>
  <c r="L50" i="22"/>
  <c r="N50" i="22" s="1"/>
  <c r="H44" i="22"/>
  <c r="L52" i="22"/>
  <c r="L46" i="22"/>
  <c r="N46" i="22" s="1"/>
  <c r="L55" i="22"/>
  <c r="L40" i="22"/>
  <c r="N40" i="22" s="1"/>
  <c r="O6" i="1"/>
  <c r="O10" i="1" s="1"/>
  <c r="D14" i="24"/>
  <c r="E17" i="19"/>
  <c r="J3" i="1"/>
  <c r="E16" i="19"/>
  <c r="E20" i="19"/>
  <c r="A19" i="19" s="1"/>
  <c r="H17" i="19"/>
  <c r="B17" i="19" s="1"/>
  <c r="H17" i="1"/>
  <c r="H16" i="19"/>
  <c r="L91" i="22"/>
  <c r="D15" i="24"/>
  <c r="E14" i="24"/>
  <c r="H42" i="19"/>
  <c r="K42" i="19" s="1"/>
  <c r="L42" i="19" s="1"/>
  <c r="H39" i="19"/>
  <c r="K56" i="19"/>
  <c r="L56" i="19" s="1"/>
  <c r="B26" i="19"/>
  <c r="B25" i="19"/>
  <c r="B53" i="19"/>
  <c r="K51" i="19"/>
  <c r="L51" i="19" s="1"/>
  <c r="B54" i="19"/>
  <c r="K53" i="19"/>
  <c r="L53" i="19" s="1"/>
  <c r="B57" i="19"/>
  <c r="K32" i="19"/>
  <c r="L32" i="19" s="1"/>
  <c r="K52" i="19"/>
  <c r="L52" i="19" s="1"/>
  <c r="B60" i="19"/>
  <c r="B27" i="19"/>
  <c r="K27" i="19"/>
  <c r="L27" i="19" s="1"/>
  <c r="K29" i="19"/>
  <c r="L29" i="19" s="1"/>
  <c r="B24" i="19"/>
  <c r="B22" i="19"/>
  <c r="K28" i="19"/>
  <c r="L28" i="19" s="1"/>
  <c r="B51" i="19"/>
  <c r="K23" i="19"/>
  <c r="L23" i="19" s="1"/>
  <c r="B52" i="19"/>
  <c r="B33" i="19"/>
  <c r="K55" i="19"/>
  <c r="L55" i="19" s="1"/>
  <c r="B56" i="19"/>
  <c r="K59" i="19"/>
  <c r="L59" i="19" s="1"/>
  <c r="K22" i="19"/>
  <c r="L22" i="19" s="1"/>
  <c r="B31" i="19"/>
  <c r="K25" i="19"/>
  <c r="L25" i="19" s="1"/>
  <c r="B32" i="19"/>
  <c r="K31" i="19"/>
  <c r="L31" i="19" s="1"/>
  <c r="B29" i="19"/>
  <c r="K57" i="19"/>
  <c r="L57" i="19" s="1"/>
  <c r="B59" i="19"/>
  <c r="B55" i="19"/>
  <c r="K54" i="19"/>
  <c r="L54" i="19" s="1"/>
  <c r="K33" i="19"/>
  <c r="L33" i="19" s="1"/>
  <c r="B28" i="19"/>
  <c r="K24" i="19"/>
  <c r="L24" i="19" s="1"/>
  <c r="K26" i="19"/>
  <c r="L26" i="19" s="1"/>
  <c r="K58" i="19"/>
  <c r="L58" i="19" s="1"/>
  <c r="K30" i="19"/>
  <c r="L30" i="19" s="1"/>
  <c r="B23" i="19"/>
  <c r="B30" i="19"/>
  <c r="B58" i="19"/>
  <c r="A18" i="19"/>
  <c r="H19" i="19"/>
  <c r="H41" i="19" l="1"/>
  <c r="K41" i="19" s="1"/>
  <c r="L41" i="19" s="1"/>
  <c r="L78" i="22"/>
  <c r="L80" i="22" s="1"/>
  <c r="H18" i="19"/>
  <c r="B18" i="19" s="1"/>
  <c r="H50" i="22"/>
  <c r="N52" i="22"/>
  <c r="H40" i="19"/>
  <c r="K40" i="19" s="1"/>
  <c r="L40" i="19" s="1"/>
  <c r="L76" i="22"/>
  <c r="B16" i="19"/>
  <c r="A16" i="19"/>
  <c r="H21" i="19"/>
  <c r="H49" i="19" s="1"/>
  <c r="E44" i="19"/>
  <c r="J44" i="19" s="1"/>
  <c r="D16" i="24"/>
  <c r="E15" i="24"/>
  <c r="B42" i="19"/>
  <c r="B39" i="19"/>
  <c r="B19" i="19"/>
  <c r="B41" i="19" l="1"/>
  <c r="B40" i="19"/>
  <c r="H45" i="19"/>
  <c r="H43" i="19"/>
  <c r="B43" i="19" s="1"/>
  <c r="M39" i="19"/>
  <c r="K39" i="19" s="1"/>
  <c r="L39" i="19" s="1"/>
  <c r="M40" i="19"/>
  <c r="M41" i="19"/>
  <c r="M42" i="19"/>
  <c r="A44" i="19"/>
  <c r="H50" i="19"/>
  <c r="B21" i="19"/>
  <c r="D17" i="24"/>
  <c r="E16" i="24"/>
  <c r="B49" i="19"/>
  <c r="H20" i="19"/>
  <c r="H44" i="19" l="1"/>
  <c r="M44" i="19" s="1"/>
  <c r="R44" i="19" s="1"/>
  <c r="R42" i="19"/>
  <c r="R40" i="19"/>
  <c r="R39" i="19"/>
  <c r="L86" i="22"/>
  <c r="L88" i="22" s="1"/>
  <c r="H48" i="19" s="1"/>
  <c r="B48" i="19" s="1"/>
  <c r="M43" i="19"/>
  <c r="B50" i="19"/>
  <c r="K43" i="19"/>
  <c r="L43" i="19" s="1"/>
  <c r="R41" i="19"/>
  <c r="E17" i="24"/>
  <c r="D18" i="24"/>
  <c r="B45" i="19"/>
  <c r="M45" i="19"/>
  <c r="B20" i="19"/>
  <c r="K44" i="19" l="1"/>
  <c r="L44" i="19" s="1"/>
  <c r="B44" i="19"/>
  <c r="K45" i="19"/>
  <c r="L45" i="19" s="1"/>
  <c r="R43" i="19"/>
  <c r="M48" i="19"/>
  <c r="D19" i="24"/>
  <c r="E18" i="24"/>
  <c r="R45" i="19"/>
  <c r="K48" i="19" l="1"/>
  <c r="L48" i="19" s="1"/>
  <c r="R48" i="19"/>
  <c r="E19" i="24"/>
  <c r="D20" i="24"/>
  <c r="E20" i="24" l="1"/>
  <c r="D21" i="24"/>
  <c r="D22" i="24" l="1"/>
  <c r="E21" i="24"/>
  <c r="D23" i="24" l="1"/>
  <c r="E23" i="24" s="1"/>
  <c r="E22" i="24"/>
  <c r="Q158" i="22" l="1"/>
  <c r="L176" i="22" l="1"/>
  <c r="L158" i="22"/>
  <c r="M158" i="22" s="1"/>
  <c r="L161" i="22"/>
  <c r="L179" i="22"/>
  <c r="L166" i="22"/>
  <c r="L189" i="22"/>
  <c r="L195" i="22"/>
  <c r="L183" i="22"/>
  <c r="L188" i="22"/>
  <c r="L175" i="22"/>
  <c r="Q195" i="22"/>
  <c r="L162" i="22"/>
  <c r="L164" i="22"/>
  <c r="L174" i="22"/>
  <c r="L167" i="22"/>
  <c r="L185" i="22"/>
  <c r="L194" i="22"/>
  <c r="L157" i="22"/>
  <c r="M157" i="22" s="1"/>
  <c r="Q194" i="22"/>
  <c r="Q157" i="22"/>
  <c r="L191" i="22"/>
  <c r="Q156" i="22"/>
  <c r="L193" i="22"/>
  <c r="L165" i="22"/>
  <c r="L186" i="22"/>
  <c r="L192" i="22"/>
  <c r="L182" i="22"/>
  <c r="L170" i="22"/>
  <c r="L156" i="22"/>
  <c r="M156" i="22" s="1"/>
  <c r="L173" i="22"/>
  <c r="L160" i="22"/>
  <c r="L181" i="22"/>
  <c r="L172" i="22"/>
  <c r="L190" i="22"/>
  <c r="L178" i="22"/>
  <c r="L180" i="22"/>
  <c r="L168" i="22"/>
  <c r="L169" i="22"/>
  <c r="L171" i="22"/>
  <c r="L184" i="22"/>
  <c r="L177" i="22"/>
  <c r="L187" i="22"/>
  <c r="L159" i="22"/>
  <c r="L163" i="22"/>
  <c r="AA76" i="22" l="1"/>
  <c r="L42" i="22"/>
  <c r="L44" i="22"/>
  <c r="N44" i="22" s="1"/>
  <c r="N55" i="22"/>
  <c r="J11" i="1"/>
  <c r="U55" i="22"/>
  <c r="J17" i="1" l="1"/>
  <c r="M20" i="22" s="1"/>
  <c r="N91" i="22" s="1"/>
  <c r="Z94" i="22" s="1"/>
  <c r="M6" i="22"/>
  <c r="I17" i="19"/>
  <c r="K17" i="19" s="1"/>
  <c r="L17" i="19" s="1"/>
  <c r="N42" i="22"/>
  <c r="M28" i="22"/>
  <c r="I19" i="19"/>
  <c r="X39" i="22"/>
  <c r="I16" i="19"/>
  <c r="I20" i="19"/>
  <c r="I18" i="19"/>
  <c r="M18" i="19" s="1"/>
  <c r="L58" i="22" l="1"/>
  <c r="N58" i="22" s="1"/>
  <c r="N60" i="22" s="1"/>
  <c r="M17" i="19"/>
  <c r="AA42" i="22" s="1"/>
  <c r="J17" i="19"/>
  <c r="W38" i="22"/>
  <c r="W39" i="22"/>
  <c r="W43" i="22"/>
  <c r="X43" i="22" s="1"/>
  <c r="X44" i="22" s="1"/>
  <c r="W40" i="22"/>
  <c r="W41" i="22" s="1"/>
  <c r="N81" i="22"/>
  <c r="H81" i="22" s="1"/>
  <c r="J16" i="19"/>
  <c r="M16" i="19"/>
  <c r="AA40" i="22" s="1"/>
  <c r="J19" i="19"/>
  <c r="M19" i="19"/>
  <c r="AA52" i="22" s="1"/>
  <c r="K19" i="19"/>
  <c r="L19" i="19" s="1"/>
  <c r="J25" i="1"/>
  <c r="J18" i="19"/>
  <c r="K18" i="19"/>
  <c r="L18" i="19" s="1"/>
  <c r="AA44" i="22"/>
  <c r="K20" i="19"/>
  <c r="L20" i="19" s="1"/>
  <c r="J20" i="19"/>
  <c r="M20" i="19"/>
  <c r="K16" i="19" l="1"/>
  <c r="L16" i="19" s="1"/>
  <c r="AA55" i="22"/>
  <c r="X41" i="22"/>
  <c r="I21" i="19"/>
  <c r="K21" i="19" l="1"/>
  <c r="L21" i="19" s="1"/>
  <c r="L34" i="19" s="1"/>
  <c r="J82" i="19" s="1"/>
  <c r="J21" i="19"/>
  <c r="M21" i="19"/>
  <c r="AA58" i="22" l="1"/>
  <c r="AA60" i="22" s="1"/>
  <c r="M34" i="19"/>
  <c r="J81" i="19"/>
  <c r="J83" i="19" s="1"/>
  <c r="J34" i="19"/>
  <c r="I11" i="19" l="1"/>
  <c r="I85" i="19"/>
  <c r="G87" i="19"/>
  <c r="Q32" i="24" l="1"/>
  <c r="Q18" i="24"/>
  <c r="Q39" i="24"/>
  <c r="Q68" i="24"/>
  <c r="Q24" i="24"/>
  <c r="Q27" i="24"/>
  <c r="Q137" i="24"/>
  <c r="Q61" i="24"/>
  <c r="Q71" i="24"/>
  <c r="Q70" i="24"/>
  <c r="Q125" i="24"/>
  <c r="Q112" i="24"/>
  <c r="Q81" i="24"/>
  <c r="Q120" i="24"/>
  <c r="Q133" i="24"/>
  <c r="Q88" i="24"/>
  <c r="Q95" i="24"/>
  <c r="Q92" i="24"/>
  <c r="Q101" i="24"/>
  <c r="Q121" i="24"/>
  <c r="Q106" i="24"/>
  <c r="Q107" i="24"/>
  <c r="Q63" i="24"/>
  <c r="Q58" i="24"/>
  <c r="Q38" i="24"/>
  <c r="Q31" i="24"/>
  <c r="Q76" i="24"/>
  <c r="Q134" i="24"/>
  <c r="Q64" i="24"/>
  <c r="Q22" i="24"/>
  <c r="Q69" i="24"/>
  <c r="Q23" i="24"/>
  <c r="Q77" i="24"/>
  <c r="Q37" i="24"/>
  <c r="Q114" i="24"/>
  <c r="Q109" i="24"/>
  <c r="Q99" i="24"/>
  <c r="Q90" i="24"/>
  <c r="Q128" i="24"/>
  <c r="Q93" i="24"/>
  <c r="Q111" i="24"/>
  <c r="Q102" i="24"/>
  <c r="Q78" i="24"/>
  <c r="Q104" i="24"/>
  <c r="Q82" i="24"/>
  <c r="Q117" i="24"/>
  <c r="Q85" i="24"/>
  <c r="Q119" i="24"/>
  <c r="Q98" i="24"/>
  <c r="Q118" i="24"/>
  <c r="Q108" i="24"/>
  <c r="Q25" i="24"/>
  <c r="Q33" i="24"/>
  <c r="Q30" i="24"/>
  <c r="Q139" i="24"/>
  <c r="Q59" i="24"/>
  <c r="Q40" i="24"/>
  <c r="Q136" i="24"/>
  <c r="Q17" i="24"/>
  <c r="Q67" i="24"/>
  <c r="Q138" i="24"/>
  <c r="Q62" i="24"/>
  <c r="Q35" i="24"/>
  <c r="Q29" i="24"/>
  <c r="Q36" i="24"/>
  <c r="Q73" i="24"/>
  <c r="Q34" i="24"/>
  <c r="Q96" i="24"/>
  <c r="Q91" i="24"/>
  <c r="Q79" i="24"/>
  <c r="Q115" i="24"/>
  <c r="Q127" i="24"/>
  <c r="Q80" i="24"/>
  <c r="Q130" i="24"/>
  <c r="Q122" i="24"/>
  <c r="Q132" i="24"/>
  <c r="Q103" i="24"/>
  <c r="Q97" i="24"/>
  <c r="Q57" i="24"/>
  <c r="Q66" i="24"/>
  <c r="Q83" i="24"/>
  <c r="Q123" i="24"/>
  <c r="Q116" i="24"/>
  <c r="Q100" i="24"/>
  <c r="Q126" i="24"/>
  <c r="Q28" i="24"/>
  <c r="Q75" i="24"/>
  <c r="Q124" i="24"/>
  <c r="Q113" i="24"/>
  <c r="Q19" i="24"/>
  <c r="Q141" i="24"/>
  <c r="Q65" i="24"/>
  <c r="Q56" i="24"/>
  <c r="Q129" i="24"/>
  <c r="Q86" i="24"/>
  <c r="Q72" i="24"/>
  <c r="Q140" i="24"/>
  <c r="Q135" i="24"/>
  <c r="Q131" i="24"/>
  <c r="Q20" i="24"/>
  <c r="Q21" i="24"/>
  <c r="Q26" i="24"/>
  <c r="Q60" i="24"/>
  <c r="Q105" i="24"/>
  <c r="Q110" i="24"/>
  <c r="Q84" i="24"/>
  <c r="Q89" i="24"/>
  <c r="Q94" i="24"/>
  <c r="Q41" i="24"/>
  <c r="Q74" i="24"/>
  <c r="Q87" i="24"/>
  <c r="Q46" i="24"/>
  <c r="Q43" i="24"/>
  <c r="Q44" i="24"/>
  <c r="Q53" i="24"/>
  <c r="Q55" i="24"/>
  <c r="Q49" i="24"/>
  <c r="Q52" i="24"/>
  <c r="Q50" i="24"/>
  <c r="Q47" i="24"/>
  <c r="Q51" i="24"/>
  <c r="Q48" i="24"/>
  <c r="Q54" i="24"/>
  <c r="Q42" i="24"/>
  <c r="Q45" i="24"/>
  <c r="P41" i="19" l="1"/>
  <c r="M61" i="19" l="1"/>
  <c r="J61" i="19"/>
  <c r="I159" i="22" l="1"/>
  <c r="Q44" i="19"/>
  <c r="P44" i="19" s="1"/>
  <c r="Q43" i="19"/>
  <c r="P43" i="19" s="1"/>
  <c r="Q40" i="19"/>
  <c r="P40" i="19" s="1"/>
  <c r="Q48" i="19"/>
  <c r="P48" i="19" s="1"/>
  <c r="Q41" i="19"/>
  <c r="Q42" i="19"/>
  <c r="P42" i="19" s="1"/>
  <c r="Q45" i="19"/>
  <c r="P45" i="19" s="1"/>
  <c r="Q39" i="19"/>
  <c r="P39" i="19" s="1"/>
  <c r="J87" i="19"/>
  <c r="L87" i="19" s="1"/>
  <c r="M87" i="19" s="1"/>
  <c r="M85" i="19"/>
  <c r="P34" i="19"/>
  <c r="J67" i="19"/>
  <c r="G67" i="19"/>
  <c r="J69" i="19"/>
  <c r="J68" i="19"/>
  <c r="G69" i="19"/>
  <c r="G68" i="19"/>
  <c r="M159" i="22" l="1"/>
  <c r="Q159" i="22"/>
  <c r="L68" i="19"/>
  <c r="M68" i="19" s="1"/>
  <c r="L67" i="19"/>
  <c r="J70" i="19"/>
  <c r="L69" i="19"/>
  <c r="M69" i="19" s="1"/>
  <c r="G70" i="19"/>
  <c r="L70" i="19" l="1"/>
  <c r="M67" i="19"/>
  <c r="M70" i="19" s="1"/>
  <c r="L61" i="19" l="1"/>
  <c r="M82" i="19" s="1"/>
  <c r="Q184" i="22" l="1"/>
  <c r="Q190" i="22"/>
  <c r="Q175" i="22"/>
  <c r="Q177" i="22"/>
  <c r="Q193" i="22"/>
  <c r="Q161" i="22"/>
  <c r="Q166" i="22"/>
  <c r="Q192" i="22"/>
  <c r="Q187" i="22"/>
  <c r="Q176" i="22"/>
  <c r="Q186" i="22"/>
  <c r="Q180" i="22"/>
  <c r="Q189" i="22"/>
  <c r="Q169" i="22"/>
  <c r="Q181" i="22"/>
  <c r="Q170" i="22"/>
  <c r="Q165" i="22"/>
  <c r="Q168" i="22" l="1"/>
  <c r="Q167" i="22"/>
  <c r="Q178" i="22"/>
  <c r="Q160" i="22"/>
  <c r="Q179" i="22"/>
  <c r="Q173" i="22"/>
  <c r="R61" i="19" l="1"/>
  <c r="R62" i="19" s="1"/>
  <c r="Q62" i="19" s="1"/>
  <c r="H46" i="19"/>
  <c r="B46" i="19" s="1"/>
  <c r="M46" i="19" l="1"/>
  <c r="K46" i="19" s="1"/>
  <c r="L46" i="19" s="1"/>
  <c r="Q46" i="19" l="1"/>
  <c r="P46" i="19" s="1"/>
  <c r="R46" i="19"/>
  <c r="H47" i="19"/>
  <c r="K47" i="19" l="1"/>
  <c r="L47" i="19" s="1"/>
  <c r="M47" i="19"/>
  <c r="B47" i="19"/>
  <c r="R47" i="19" l="1"/>
  <c r="Q47" i="19"/>
  <c r="P47" i="19" s="1"/>
  <c r="Q16" i="24" l="1"/>
  <c r="M22" i="22"/>
  <c r="N92" i="22" s="1"/>
  <c r="M24" i="22" l="1"/>
  <c r="M31" i="22" s="1"/>
  <c r="I49" i="19" l="1"/>
  <c r="Z91" i="22" l="1"/>
  <c r="J49" i="19"/>
  <c r="M49" i="19"/>
  <c r="K49" i="19"/>
  <c r="L49" i="19" s="1"/>
  <c r="S92" i="22"/>
  <c r="R49" i="19" l="1"/>
  <c r="Q49" i="19"/>
  <c r="P49" i="19" s="1"/>
  <c r="F96" i="22"/>
  <c r="M117" i="22"/>
  <c r="I117" i="22"/>
  <c r="I50" i="19"/>
  <c r="G117" i="22"/>
  <c r="K131" i="22" s="1"/>
  <c r="G131" i="22" s="1"/>
  <c r="D117" i="22"/>
  <c r="N94" i="22"/>
  <c r="I160" i="22"/>
  <c r="I173" i="22"/>
  <c r="M173" i="22" s="1"/>
  <c r="I195" i="22"/>
  <c r="M195" i="22" s="1"/>
  <c r="I193" i="22"/>
  <c r="M193" i="22" s="1"/>
  <c r="I175" i="22"/>
  <c r="M175" i="22" s="1"/>
  <c r="I169" i="22"/>
  <c r="M169" i="22" s="1"/>
  <c r="I186" i="22"/>
  <c r="M186" i="22" s="1"/>
  <c r="I167" i="22"/>
  <c r="M167" i="22" s="1"/>
  <c r="I188" i="22"/>
  <c r="I189" i="22"/>
  <c r="M189" i="22" s="1"/>
  <c r="I179" i="22"/>
  <c r="M179" i="22" s="1"/>
  <c r="I165" i="22"/>
  <c r="M165" i="22" s="1"/>
  <c r="I168" i="22"/>
  <c r="M168" i="22" s="1"/>
  <c r="I176" i="22"/>
  <c r="M176" i="22" s="1"/>
  <c r="I194" i="22"/>
  <c r="M194" i="22" s="1"/>
  <c r="I163" i="22"/>
  <c r="I161" i="22"/>
  <c r="M161" i="22" s="1"/>
  <c r="I183" i="22"/>
  <c r="I184" i="22"/>
  <c r="M184" i="22" s="1"/>
  <c r="I172" i="22"/>
  <c r="I166" i="22"/>
  <c r="M166" i="22" s="1"/>
  <c r="I178" i="22"/>
  <c r="M178" i="22" s="1"/>
  <c r="I162" i="22"/>
  <c r="I177" i="22"/>
  <c r="M177" i="22" s="1"/>
  <c r="I171" i="22"/>
  <c r="I192" i="22"/>
  <c r="M192" i="22" s="1"/>
  <c r="I180" i="22"/>
  <c r="M180" i="22" s="1"/>
  <c r="I187" i="22"/>
  <c r="M187" i="22" s="1"/>
  <c r="I174" i="22"/>
  <c r="I181" i="22"/>
  <c r="M181" i="22" s="1"/>
  <c r="I190" i="22"/>
  <c r="M190" i="22" s="1"/>
  <c r="I191" i="22"/>
  <c r="I182" i="22"/>
  <c r="I185" i="22"/>
  <c r="I164" i="22"/>
  <c r="I170" i="22"/>
  <c r="M170" i="22" s="1"/>
  <c r="M50" i="19" l="1"/>
  <c r="Q50" i="19" s="1"/>
  <c r="P50" i="19" s="1"/>
  <c r="K50" i="19"/>
  <c r="L50" i="19" s="1"/>
  <c r="J50" i="19"/>
  <c r="M81" i="19" s="1"/>
  <c r="M83" i="19" s="1"/>
  <c r="Q94" i="22"/>
  <c r="R94" i="22" s="1"/>
  <c r="J95" i="22"/>
  <c r="Q185" i="22"/>
  <c r="M185" i="22"/>
  <c r="Q172" i="22"/>
  <c r="M172" i="22"/>
  <c r="Q163" i="22"/>
  <c r="M163" i="22"/>
  <c r="Q164" i="22"/>
  <c r="M164" i="22"/>
  <c r="Q182" i="22"/>
  <c r="M182" i="22"/>
  <c r="Q174" i="22"/>
  <c r="M174" i="22"/>
  <c r="Q171" i="22"/>
  <c r="M171" i="22"/>
  <c r="Q162" i="22"/>
  <c r="M162" i="22"/>
  <c r="Q188" i="22"/>
  <c r="M188" i="22"/>
  <c r="M160" i="22"/>
  <c r="Q191" i="22"/>
  <c r="M191" i="22"/>
  <c r="Q183" i="22"/>
  <c r="M183" i="22"/>
</calcChain>
</file>

<file path=xl/comments1.xml><?xml version="1.0" encoding="utf-8"?>
<comments xmlns="http://schemas.openxmlformats.org/spreadsheetml/2006/main">
  <authors>
    <author>Matheus Aragão</author>
  </authors>
  <commentList>
    <comment ref="E8" authorId="0" shapeId="0">
      <text>
        <r>
          <rPr>
            <b/>
            <sz val="9"/>
            <color indexed="81"/>
            <rFont val="Segoe UI"/>
            <family val="2"/>
          </rPr>
          <t>Matheus Aragão:</t>
        </r>
        <r>
          <rPr>
            <sz val="9"/>
            <color indexed="81"/>
            <rFont val="Segoe UI"/>
            <family val="2"/>
          </rPr>
          <t xml:space="preserve">
Atualizado em 05/08/2019
</t>
        </r>
      </text>
    </comment>
  </commentList>
</comments>
</file>

<file path=xl/comments2.xml><?xml version="1.0" encoding="utf-8"?>
<comments xmlns="http://schemas.openxmlformats.org/spreadsheetml/2006/main">
  <authors>
    <author>João Pereira</author>
  </authors>
  <commentList>
    <comment ref="B11" authorId="0" shapeId="0">
      <text>
        <r>
          <rPr>
            <b/>
            <sz val="9"/>
            <color indexed="81"/>
            <rFont val="Segoe UI"/>
            <family val="2"/>
          </rPr>
          <t>João Pereira:</t>
        </r>
        <r>
          <rPr>
            <sz val="9"/>
            <color indexed="81"/>
            <rFont val="Segoe UI"/>
            <family val="2"/>
          </rPr>
          <t xml:space="preserve">
mudei de 5 para 3
</t>
        </r>
      </text>
    </comment>
    <comment ref="B13" authorId="0" shapeId="0">
      <text>
        <r>
          <rPr>
            <b/>
            <sz val="9"/>
            <color indexed="81"/>
            <rFont val="Segoe UI"/>
            <family val="2"/>
          </rPr>
          <t>João Pereira:</t>
        </r>
        <r>
          <rPr>
            <sz val="9"/>
            <color indexed="81"/>
            <rFont val="Segoe UI"/>
            <family val="2"/>
          </rPr>
          <t xml:space="preserve">
mudei de 5 para 3
</t>
        </r>
      </text>
    </comment>
  </commentList>
</comments>
</file>

<file path=xl/comments3.xml><?xml version="1.0" encoding="utf-8"?>
<comments xmlns="http://schemas.openxmlformats.org/spreadsheetml/2006/main">
  <authors>
    <author>Nei Ferreira</author>
  </authors>
  <commentList>
    <comment ref="X15" authorId="0" shapeId="0">
      <text>
        <r>
          <rPr>
            <b/>
            <sz val="8"/>
            <color indexed="81"/>
            <rFont val="Tahoma"/>
            <family val="2"/>
          </rPr>
          <t>Nei Ferreira:</t>
        </r>
        <r>
          <rPr>
            <sz val="8"/>
            <color indexed="81"/>
            <rFont val="Tahoma"/>
            <family val="2"/>
          </rPr>
          <t xml:space="preserve">
Diminuir 1 mês, todo mês</t>
        </r>
      </text>
    </comment>
  </commentList>
</comments>
</file>

<file path=xl/sharedStrings.xml><?xml version="1.0" encoding="utf-8"?>
<sst xmlns="http://schemas.openxmlformats.org/spreadsheetml/2006/main" count="926" uniqueCount="464">
  <si>
    <t>Renda Familiar</t>
  </si>
  <si>
    <t>Subsídio</t>
  </si>
  <si>
    <r>
      <t xml:space="preserve">Juros Nominal </t>
    </r>
    <r>
      <rPr>
        <sz val="8"/>
        <rFont val="Arial"/>
        <family val="2"/>
      </rPr>
      <t>(a.a.)</t>
    </r>
  </si>
  <si>
    <t>Comissão</t>
  </si>
  <si>
    <t>Valor Máximo do Imóvel</t>
  </si>
  <si>
    <t>Subsídio Máximo</t>
  </si>
  <si>
    <t>Comprometimento de Renda</t>
  </si>
  <si>
    <t>PREMISSAS</t>
  </si>
  <si>
    <t>FGTS</t>
  </si>
  <si>
    <t>Salário Mínimo</t>
  </si>
  <si>
    <t>Obra</t>
  </si>
  <si>
    <t>Desembolso</t>
  </si>
  <si>
    <t>Período</t>
  </si>
  <si>
    <t>Repasse</t>
  </si>
  <si>
    <t>Obra / VGV</t>
  </si>
  <si>
    <t>Total</t>
  </si>
  <si>
    <t>Avaliação CAIXA</t>
  </si>
  <si>
    <t>Preço de Venda</t>
  </si>
  <si>
    <t>financiamento maximo pela renda</t>
  </si>
  <si>
    <t>FGTS Há mais de 3 anos?</t>
  </si>
  <si>
    <t>*</t>
  </si>
  <si>
    <t>Documento Interno para Equalização de Propostas</t>
  </si>
  <si>
    <t>Não tem Valor Comercial ou Jurídico</t>
  </si>
  <si>
    <t>Impressão</t>
  </si>
  <si>
    <t>Empreendimento</t>
  </si>
  <si>
    <t>Cargo</t>
  </si>
  <si>
    <t>Nome</t>
  </si>
  <si>
    <t>Anual</t>
  </si>
  <si>
    <t>Fixa</t>
  </si>
  <si>
    <t>HUMANARI / CYAN</t>
  </si>
  <si>
    <t>Proponente</t>
  </si>
  <si>
    <t>Corretor</t>
  </si>
  <si>
    <t>Chaves</t>
  </si>
  <si>
    <t>Corrigida</t>
  </si>
  <si>
    <t>HUMANARI / MAGENTA</t>
  </si>
  <si>
    <t>Unidade</t>
  </si>
  <si>
    <t>Gerente</t>
  </si>
  <si>
    <t>Mensal</t>
  </si>
  <si>
    <t>HUMANARI / RUBINE</t>
  </si>
  <si>
    <t>Semestral</t>
  </si>
  <si>
    <t>HUMANARI / VAGAS GARAGEM</t>
  </si>
  <si>
    <t>Data da Tabela</t>
  </si>
  <si>
    <t>Juros TP a.a.</t>
  </si>
  <si>
    <t>Data TP Tabela</t>
  </si>
  <si>
    <t>Sinal</t>
  </si>
  <si>
    <t>Data da proposta</t>
  </si>
  <si>
    <t>Juros Mercado a.a.</t>
  </si>
  <si>
    <t>Data TP Proposta</t>
  </si>
  <si>
    <t>Data das Chaves:</t>
  </si>
  <si>
    <t>Preço da unidade</t>
  </si>
  <si>
    <t>TABELA DE VENDAS</t>
  </si>
  <si>
    <t>Parc.</t>
  </si>
  <si>
    <t>Periodicidade</t>
  </si>
  <si>
    <t>Data</t>
  </si>
  <si>
    <t>Parcelas Sem TP</t>
  </si>
  <si>
    <t>Parcelas Com TP</t>
  </si>
  <si>
    <t>Valor Presente</t>
  </si>
  <si>
    <t>Inicial</t>
  </si>
  <si>
    <t>Parcelas</t>
  </si>
  <si>
    <t>OBS:</t>
  </si>
  <si>
    <t>TOTAL</t>
  </si>
  <si>
    <t>PROPOSTA DO PROPONENTE</t>
  </si>
  <si>
    <t>Param. Comissão</t>
  </si>
  <si>
    <t>%Abat. N.F.</t>
  </si>
  <si>
    <t>%Abat.</t>
  </si>
  <si>
    <t>Prêmio</t>
  </si>
  <si>
    <t>Valor</t>
  </si>
  <si>
    <t>%</t>
  </si>
  <si>
    <t>Valor do %</t>
  </si>
  <si>
    <t>Vistos</t>
  </si>
  <si>
    <t>Serasa</t>
  </si>
  <si>
    <t>Crédito</t>
  </si>
  <si>
    <t>Diretoria</t>
  </si>
  <si>
    <t>Data das Chaves</t>
  </si>
  <si>
    <t>Perc. Pagas até Chaves TB com TP</t>
  </si>
  <si>
    <t>Valor Total</t>
  </si>
  <si>
    <t>Preço Total</t>
  </si>
  <si>
    <t>Porcentagem</t>
  </si>
  <si>
    <t>Perc. Do Sinal sobre o Total (TB)</t>
  </si>
  <si>
    <t>Perc. do Sinal sobre o Total (Proposta)</t>
  </si>
  <si>
    <t>V.P. da Tabela</t>
  </si>
  <si>
    <t>V.P. da Proposta</t>
  </si>
  <si>
    <t>Diferença</t>
  </si>
  <si>
    <t>Empresa de vendas</t>
  </si>
  <si>
    <t>Reajuste INCCD2</t>
  </si>
  <si>
    <t>Valor Máximo financiado em 300 meses</t>
  </si>
  <si>
    <t>Select de Financiamento</t>
  </si>
  <si>
    <t>Resposta</t>
  </si>
  <si>
    <t>Correção da Resposta</t>
  </si>
  <si>
    <t>Corretor:</t>
  </si>
  <si>
    <t>Empreendimento:</t>
  </si>
  <si>
    <t>Parcela Máxima</t>
  </si>
  <si>
    <t>Parcela Máxima sem taxa</t>
  </si>
  <si>
    <t>Valores Financiáveis</t>
  </si>
  <si>
    <t>observação</t>
  </si>
  <si>
    <t>INCC (a.a.) Nominal</t>
  </si>
  <si>
    <t>SP, Campinas, DF, RJ e RM</t>
  </si>
  <si>
    <t>Capitais e acima de 500mil</t>
  </si>
  <si>
    <t>Valor Financiado</t>
  </si>
  <si>
    <t>Empreendimentos</t>
  </si>
  <si>
    <t>Empresa de Vendas</t>
  </si>
  <si>
    <t>Prazo</t>
  </si>
  <si>
    <t>ÚLTIMA</t>
  </si>
  <si>
    <t>RENDA</t>
  </si>
  <si>
    <t>PRAZO</t>
  </si>
  <si>
    <t>+</t>
  </si>
  <si>
    <t>=</t>
  </si>
  <si>
    <t>DIA</t>
  </si>
  <si>
    <t>MÊS</t>
  </si>
  <si>
    <t>IDADE EM MESES</t>
  </si>
  <si>
    <t>Quota de Financiamento maxima</t>
  </si>
  <si>
    <t>Subsísidio praticado</t>
  </si>
  <si>
    <t>Valor Maximo do Imóvel no pacote</t>
  </si>
  <si>
    <t>Tipo</t>
  </si>
  <si>
    <t>Código Tipo</t>
  </si>
  <si>
    <t>Código Preço de Venda</t>
  </si>
  <si>
    <t>Código Avaliação CAIXA</t>
  </si>
  <si>
    <t>Venda</t>
  </si>
  <si>
    <t>Código Empreendimento</t>
  </si>
  <si>
    <t>Taxa de Administração</t>
  </si>
  <si>
    <t>Salário Isento de Taxa</t>
  </si>
  <si>
    <t>Resposta do simulador</t>
  </si>
  <si>
    <t>Salário do Cliente</t>
  </si>
  <si>
    <t>Código dos dos empreendimentos</t>
  </si>
  <si>
    <t>Código Venda</t>
  </si>
  <si>
    <t>Código Avaliação</t>
  </si>
  <si>
    <t>Planilha de resposta do empreendimento escolhido</t>
  </si>
  <si>
    <t>Tabela de Unidades disponíveis</t>
  </si>
  <si>
    <t>Qual o Valor Máximo do Imóvel no Pacote para esta região?</t>
  </si>
  <si>
    <t>Valor Máximo do imóvel no Pacote</t>
  </si>
  <si>
    <t>Valor Máximo do Pacote</t>
  </si>
  <si>
    <t>Valor Máximo Do Imóvel dentro do Pacote</t>
  </si>
  <si>
    <t>Taxa do Cliente</t>
  </si>
  <si>
    <t>Empresa de Venda:</t>
  </si>
  <si>
    <t>Valor do Imóvel na Tabela:</t>
  </si>
  <si>
    <t>a.a.</t>
  </si>
  <si>
    <t>a.m.</t>
  </si>
  <si>
    <t>Data:</t>
  </si>
  <si>
    <t>Código Curva Obra</t>
  </si>
  <si>
    <t>Código Desembolso</t>
  </si>
  <si>
    <t>Mês de Chaves</t>
  </si>
  <si>
    <t>Data Chaves</t>
  </si>
  <si>
    <t>Data Das Chaves</t>
  </si>
  <si>
    <t>Análise de Crédito</t>
  </si>
  <si>
    <t>Mês</t>
  </si>
  <si>
    <t>Encargos Incorporador</t>
  </si>
  <si>
    <t>Encargos 
CAIXA</t>
  </si>
  <si>
    <t>Período Atual</t>
  </si>
  <si>
    <t>ENTRADA MÍNIMA</t>
  </si>
  <si>
    <t>Valor do contrato de financiamento com a CAIXA</t>
  </si>
  <si>
    <t>Entrada</t>
  </si>
  <si>
    <t>Botões PV</t>
  </si>
  <si>
    <t>QTDE PARCELAS</t>
  </si>
  <si>
    <t>DATA INICIAL</t>
  </si>
  <si>
    <t>PARCELA</t>
  </si>
  <si>
    <t>VALOR PRESENTE</t>
  </si>
  <si>
    <t>FINANCIAMENTO</t>
  </si>
  <si>
    <t>MÊS DE INÍCIO</t>
  </si>
  <si>
    <t>Primeira Parcela do Financiamento</t>
  </si>
  <si>
    <t>Valor Máximo do FGTS</t>
  </si>
  <si>
    <t>Prazo Obra</t>
  </si>
  <si>
    <t>PV</t>
  </si>
  <si>
    <t>RESPOSTAS</t>
  </si>
  <si>
    <t>Sim</t>
  </si>
  <si>
    <t>Não</t>
  </si>
  <si>
    <t>PV para Zerar</t>
  </si>
  <si>
    <t>Parcela para zerar PV</t>
  </si>
  <si>
    <t>Prazo Pós Obra</t>
  </si>
  <si>
    <t>Limite máximo de financiamento (REPASSE)</t>
  </si>
  <si>
    <t>Última Parcela de  Encargos CAIXA</t>
  </si>
  <si>
    <t>somatório de parcelas CAIXA e Incorporador - (Entrada e Chaves)</t>
  </si>
  <si>
    <t>Primeira Parcela de
 Encargos CAIXA</t>
  </si>
  <si>
    <t>Chaves (valor máximo da poupança)</t>
  </si>
  <si>
    <t>Valor Máximo de Chaves</t>
  </si>
  <si>
    <t xml:space="preserve">TOTAL   </t>
  </si>
  <si>
    <t>Prazo Para Chaves</t>
  </si>
  <si>
    <t>Empreendimento 01</t>
  </si>
  <si>
    <t>Empreendimento 02</t>
  </si>
  <si>
    <t>Empreendimento 03</t>
  </si>
  <si>
    <t>Empreendimento 04</t>
  </si>
  <si>
    <t>Empreendimento 05</t>
  </si>
  <si>
    <t>Empreendimento 06</t>
  </si>
  <si>
    <t>Empreendimento 07</t>
  </si>
  <si>
    <t>Empreendimento 08</t>
  </si>
  <si>
    <t>Empreendimento 09</t>
  </si>
  <si>
    <t>Empreendimento 10</t>
  </si>
  <si>
    <t>Empreendimento 11</t>
  </si>
  <si>
    <t>Empreendimento 12</t>
  </si>
  <si>
    <t>Empreendimento 13</t>
  </si>
  <si>
    <t>Empreendimento 14</t>
  </si>
  <si>
    <t>Data de Mudança de Tabela</t>
  </si>
  <si>
    <t>Empresas de Vendas</t>
  </si>
  <si>
    <t>select</t>
  </si>
  <si>
    <t>zerar PV</t>
  </si>
  <si>
    <t>Idade</t>
  </si>
  <si>
    <t>Seguro Morte ou Invalidez</t>
  </si>
  <si>
    <t>Fundo Garantidor (emprego)</t>
  </si>
  <si>
    <t>Taxa (%)</t>
  </si>
  <si>
    <t>Taxa (R$)</t>
  </si>
  <si>
    <t xml:space="preserve">O Cálculo da Taxa leva em conta a idade do cliente no repasse e não na data da venda (incluindo margem de segurança de 2 meses). No Simulador da CAIXA não desconta a taxa do Fundo, pois é optativo, mas na prática todos optam. </t>
  </si>
  <si>
    <t>% FLUXO</t>
  </si>
  <si>
    <t>Zerar PV no Financiamento?</t>
  </si>
  <si>
    <t>não</t>
  </si>
  <si>
    <t>sim</t>
  </si>
  <si>
    <t>Gerente:</t>
  </si>
  <si>
    <t>Mensal 1</t>
  </si>
  <si>
    <t>Mensal 2</t>
  </si>
  <si>
    <t>Ok</t>
  </si>
  <si>
    <t xml:space="preserve">Desconto </t>
  </si>
  <si>
    <t>TABELA PRICE</t>
  </si>
  <si>
    <t>Pró Soluto</t>
  </si>
  <si>
    <t>FGTS + SUBSÍDIO</t>
  </si>
  <si>
    <t>Bl 1 – Finais  03 e 04  2° ao 17° e Bl 2 - Finais 07 a 08 2° ao 17° - Sol da Manhã</t>
  </si>
  <si>
    <t>Bl 2 – Finais 03 e 04  2° ao 17° e Bl 1 - Finais 07 e 08  2° ao 17° - Sol da Tarde</t>
  </si>
  <si>
    <t>Bl 1 e 2 - 103, 104, 107–  PNE</t>
  </si>
  <si>
    <t>DEZ VISTA ALEGRE - BLOCOS 1 e 2</t>
  </si>
  <si>
    <t>I.NOVA</t>
  </si>
  <si>
    <t>SELLER</t>
  </si>
  <si>
    <t>Bl 2 – Final 06 –  Terreo ao 17° e Bl 1 - Finais 02 e 05 - Terreo ao 17° - Sol da Manhã</t>
  </si>
  <si>
    <t>Bl 2 – Finais 05 –  Terreo ao 17° e Bl 1 - Finais 01 e 06 - Terreo ao 17° - Sol da Tarde</t>
  </si>
  <si>
    <t>Bl 2 - Final 01 - Terreo ao 17° - Sol da Manhã</t>
  </si>
  <si>
    <t>Bl 2- Final 02 - Terreo ao 17° - Sol da Tarde</t>
  </si>
  <si>
    <t>Bloco/Unidade</t>
  </si>
  <si>
    <t>1/101</t>
  </si>
  <si>
    <t>1/102</t>
  </si>
  <si>
    <t>1/103</t>
  </si>
  <si>
    <t>1/104</t>
  </si>
  <si>
    <t>1/105</t>
  </si>
  <si>
    <t>1/106</t>
  </si>
  <si>
    <t>1/201</t>
  </si>
  <si>
    <t>1/202</t>
  </si>
  <si>
    <t>1/203</t>
  </si>
  <si>
    <t>1/204</t>
  </si>
  <si>
    <t>1/205</t>
  </si>
  <si>
    <t>1/206</t>
  </si>
  <si>
    <t>1/207</t>
  </si>
  <si>
    <t>1/208</t>
  </si>
  <si>
    <t>1/301</t>
  </si>
  <si>
    <t>1/302</t>
  </si>
  <si>
    <t>1/303</t>
  </si>
  <si>
    <t>1/304</t>
  </si>
  <si>
    <t>1/305</t>
  </si>
  <si>
    <t>1/306</t>
  </si>
  <si>
    <t>1/307</t>
  </si>
  <si>
    <t>1/308</t>
  </si>
  <si>
    <t>1/401</t>
  </si>
  <si>
    <t>1/402</t>
  </si>
  <si>
    <t>1/403</t>
  </si>
  <si>
    <t>1/404</t>
  </si>
  <si>
    <t>1/405</t>
  </si>
  <si>
    <t>1/406</t>
  </si>
  <si>
    <t>1/407</t>
  </si>
  <si>
    <t>1/408</t>
  </si>
  <si>
    <t>1/501</t>
  </si>
  <si>
    <t>1/502</t>
  </si>
  <si>
    <t>1/503</t>
  </si>
  <si>
    <t>1/504</t>
  </si>
  <si>
    <t>1/505</t>
  </si>
  <si>
    <t>1/506</t>
  </si>
  <si>
    <t>1/507</t>
  </si>
  <si>
    <t>1/508</t>
  </si>
  <si>
    <t>1/601</t>
  </si>
  <si>
    <t>1/602</t>
  </si>
  <si>
    <t>1/603</t>
  </si>
  <si>
    <t>1/604</t>
  </si>
  <si>
    <t>1/605</t>
  </si>
  <si>
    <t>1/606</t>
  </si>
  <si>
    <t>1/607</t>
  </si>
  <si>
    <t>1/608</t>
  </si>
  <si>
    <t>1/701</t>
  </si>
  <si>
    <t>1/702</t>
  </si>
  <si>
    <t>1/703</t>
  </si>
  <si>
    <t>1/704</t>
  </si>
  <si>
    <t>1/705</t>
  </si>
  <si>
    <t>1/706</t>
  </si>
  <si>
    <t>1/707</t>
  </si>
  <si>
    <t>1/708</t>
  </si>
  <si>
    <t>1/801</t>
  </si>
  <si>
    <t>1/802</t>
  </si>
  <si>
    <t>1/803</t>
  </si>
  <si>
    <t>1/804</t>
  </si>
  <si>
    <t>1/805</t>
  </si>
  <si>
    <t>1/806</t>
  </si>
  <si>
    <t>1/807</t>
  </si>
  <si>
    <t>1/808</t>
  </si>
  <si>
    <t>2/101</t>
  </si>
  <si>
    <t>2/102</t>
  </si>
  <si>
    <t>2/103</t>
  </si>
  <si>
    <t>2/104</t>
  </si>
  <si>
    <t>2/105</t>
  </si>
  <si>
    <t>2/201</t>
  </si>
  <si>
    <t>2/202</t>
  </si>
  <si>
    <t>2/203</t>
  </si>
  <si>
    <t>2/204</t>
  </si>
  <si>
    <t>2/205</t>
  </si>
  <si>
    <t>2/206</t>
  </si>
  <si>
    <t>2/207</t>
  </si>
  <si>
    <t>2/208</t>
  </si>
  <si>
    <t>2/301</t>
  </si>
  <si>
    <t>2/302</t>
  </si>
  <si>
    <t>2/303</t>
  </si>
  <si>
    <t>2/304</t>
  </si>
  <si>
    <t>2/305</t>
  </si>
  <si>
    <t>2/306</t>
  </si>
  <si>
    <t>2/307</t>
  </si>
  <si>
    <t>2/308</t>
  </si>
  <si>
    <t>2/401</t>
  </si>
  <si>
    <t>2/402</t>
  </si>
  <si>
    <t>2/403</t>
  </si>
  <si>
    <t>2/404</t>
  </si>
  <si>
    <t>2/405</t>
  </si>
  <si>
    <t>2/406</t>
  </si>
  <si>
    <t>2/407</t>
  </si>
  <si>
    <t>2/408</t>
  </si>
  <si>
    <t>2/501</t>
  </si>
  <si>
    <t>2/502</t>
  </si>
  <si>
    <t>2/503</t>
  </si>
  <si>
    <t>2/504</t>
  </si>
  <si>
    <t>2/505</t>
  </si>
  <si>
    <t>2/506</t>
  </si>
  <si>
    <t>2/507</t>
  </si>
  <si>
    <t>2/508</t>
  </si>
  <si>
    <t>2/601</t>
  </si>
  <si>
    <t>2/602</t>
  </si>
  <si>
    <t>2/603</t>
  </si>
  <si>
    <t>2/604</t>
  </si>
  <si>
    <t>2/605</t>
  </si>
  <si>
    <t>2/606</t>
  </si>
  <si>
    <t>2/607</t>
  </si>
  <si>
    <t>2/608</t>
  </si>
  <si>
    <t>2/701</t>
  </si>
  <si>
    <t>2/702</t>
  </si>
  <si>
    <t>2/703</t>
  </si>
  <si>
    <t>2/704</t>
  </si>
  <si>
    <t>2/705</t>
  </si>
  <si>
    <t>2/706</t>
  </si>
  <si>
    <t>2/707</t>
  </si>
  <si>
    <t>2/708</t>
  </si>
  <si>
    <t>2/801</t>
  </si>
  <si>
    <t>2/802</t>
  </si>
  <si>
    <t>2/803</t>
  </si>
  <si>
    <t>2/804</t>
  </si>
  <si>
    <t>2/805</t>
  </si>
  <si>
    <t>2/806</t>
  </si>
  <si>
    <t>2/807</t>
  </si>
  <si>
    <t>2/808</t>
  </si>
  <si>
    <t>PREENCHER</t>
  </si>
  <si>
    <t>NÃO PREENCHER</t>
  </si>
  <si>
    <t>Faixa</t>
  </si>
  <si>
    <t>Faixa 70%</t>
  </si>
  <si>
    <t>30 Dias</t>
  </si>
  <si>
    <t>CORREÇÃO</t>
  </si>
  <si>
    <t>VALOR 05.2017</t>
  </si>
  <si>
    <t>1/107</t>
  </si>
  <si>
    <t>2/106</t>
  </si>
  <si>
    <t>2/107</t>
  </si>
  <si>
    <t>Pró -Soluto</t>
  </si>
  <si>
    <t>PROPOSTA CLIENTE SEM ITBI/REGISTRO</t>
  </si>
  <si>
    <t>Exato Rio Grande</t>
  </si>
  <si>
    <t>ITBI</t>
  </si>
  <si>
    <t>60 dias</t>
  </si>
  <si>
    <t>90 dias</t>
  </si>
  <si>
    <t>All Nations B</t>
  </si>
  <si>
    <t>2/108</t>
  </si>
  <si>
    <t>2/209</t>
  </si>
  <si>
    <t>2/210</t>
  </si>
  <si>
    <t>2/309</t>
  </si>
  <si>
    <t>2/310</t>
  </si>
  <si>
    <t>2/409</t>
  </si>
  <si>
    <t>2/410</t>
  </si>
  <si>
    <t>2/509</t>
  </si>
  <si>
    <t>2/510</t>
  </si>
  <si>
    <t>2/609</t>
  </si>
  <si>
    <t>2/610</t>
  </si>
  <si>
    <t>2/709</t>
  </si>
  <si>
    <t>2/710</t>
  </si>
  <si>
    <t>2/809</t>
  </si>
  <si>
    <t>2/810</t>
  </si>
  <si>
    <t>TABELA SAC</t>
  </si>
  <si>
    <t xml:space="preserve">Idade </t>
  </si>
  <si>
    <t>Nome do Cliente:</t>
  </si>
  <si>
    <t>Renda Familiar Total:</t>
  </si>
  <si>
    <t>Carteira assinada (Meses)</t>
  </si>
  <si>
    <t>Prazo de Financiamento Pós Obra:</t>
  </si>
  <si>
    <t>Qtd Compradores:</t>
  </si>
  <si>
    <t>Dependentes:</t>
  </si>
  <si>
    <t>Já possui imóvel próprio:</t>
  </si>
  <si>
    <t>Valor do FGTS:</t>
  </si>
  <si>
    <t>Taxa de Juros Nominal:</t>
  </si>
  <si>
    <t>Registro</t>
  </si>
  <si>
    <t>ITBI+Registro</t>
  </si>
  <si>
    <t>Subsídio:</t>
  </si>
  <si>
    <t>Valor Máximo Financiado:</t>
  </si>
  <si>
    <t>Valor Máximo de Repasse:</t>
  </si>
  <si>
    <t>Total:</t>
  </si>
  <si>
    <t>Parcela Mínima</t>
  </si>
  <si>
    <t>Não entendi</t>
  </si>
  <si>
    <t>Cliente PMCMV/CCFGTS?</t>
  </si>
  <si>
    <t>Mensal Máxima:</t>
  </si>
  <si>
    <t>Prazo Máximo a financiar</t>
  </si>
  <si>
    <t>Prazo Máx. Financ.</t>
  </si>
  <si>
    <t>Última Parcela do Financiamento</t>
  </si>
  <si>
    <t>FINANCIAMENTO CAIXA</t>
  </si>
  <si>
    <t>PROPOSTA CLIENTE</t>
  </si>
  <si>
    <t>INFORMAÇÕES CLIENTE</t>
  </si>
  <si>
    <t>Alterar Vaor</t>
  </si>
  <si>
    <t>VIVAZ SÃO CRISTÓVÃO</t>
  </si>
  <si>
    <t>1/108</t>
  </si>
  <si>
    <t>1/109</t>
  </si>
  <si>
    <t>1/110</t>
  </si>
  <si>
    <t>1/209</t>
  </si>
  <si>
    <t>1/210</t>
  </si>
  <si>
    <t>1/211</t>
  </si>
  <si>
    <t>1/212</t>
  </si>
  <si>
    <t>1/309</t>
  </si>
  <si>
    <t>1/310</t>
  </si>
  <si>
    <t>1/311</t>
  </si>
  <si>
    <t>1/312</t>
  </si>
  <si>
    <t>1/409</t>
  </si>
  <si>
    <t>1/410</t>
  </si>
  <si>
    <t>1/411</t>
  </si>
  <si>
    <t>1/412</t>
  </si>
  <si>
    <t>1/509</t>
  </si>
  <si>
    <t>1/510</t>
  </si>
  <si>
    <t>1/511</t>
  </si>
  <si>
    <t>1/512</t>
  </si>
  <si>
    <t>1/609</t>
  </si>
  <si>
    <t>1/610</t>
  </si>
  <si>
    <t>1/611</t>
  </si>
  <si>
    <t>1/612</t>
  </si>
  <si>
    <t>1/709</t>
  </si>
  <si>
    <t>1/710</t>
  </si>
  <si>
    <t>1/711</t>
  </si>
  <si>
    <t>1/712</t>
  </si>
  <si>
    <t>1/809</t>
  </si>
  <si>
    <t>1/810</t>
  </si>
  <si>
    <t>1/811</t>
  </si>
  <si>
    <t>1/812</t>
  </si>
  <si>
    <t>2/109</t>
  </si>
  <si>
    <t>2/110</t>
  </si>
  <si>
    <t>2/211</t>
  </si>
  <si>
    <t>2/212</t>
  </si>
  <si>
    <t>2/311</t>
  </si>
  <si>
    <t>2/312</t>
  </si>
  <si>
    <t>2/411</t>
  </si>
  <si>
    <t>2/412</t>
  </si>
  <si>
    <t>2/511</t>
  </si>
  <si>
    <t>2/512</t>
  </si>
  <si>
    <t>2/611</t>
  </si>
  <si>
    <t>2/612</t>
  </si>
  <si>
    <t>2/711</t>
  </si>
  <si>
    <t>2/712</t>
  </si>
  <si>
    <t>2/811</t>
  </si>
  <si>
    <t>2/812</t>
  </si>
  <si>
    <t>Mensal 3</t>
  </si>
  <si>
    <t>LTV</t>
  </si>
  <si>
    <t>Valor a ser repassado pela CAIXA</t>
  </si>
  <si>
    <t>Data nascimento do Proponente mais Velho:</t>
  </si>
  <si>
    <t>Mensal+ Financiamento</t>
  </si>
  <si>
    <t>Ato</t>
  </si>
  <si>
    <t>120 Dias</t>
  </si>
  <si>
    <t>150 Dias</t>
  </si>
  <si>
    <t>90 Dias</t>
  </si>
  <si>
    <t>60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</si>
</sst>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7" formatCode="&quot;R$ &quot;#,##0.00_);\(&quot;R$ &quot;#,##0.00\)"/>
    <numFmt numFmtId="8" formatCode="&quot;R$ &quot;#,##0.00_);[Red]\(&quot;R$ &quot;#,##0.00\)"/>
    <numFmt numFmtId="43" formatCode="_(* #,##0.00_);_(* \(#,##0.00\);_(* &quot;-&quot;??_);_(@_)"/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-&quot;R$&quot;\ * #,##0.00_-;\-&quot;R$&quot;\ * #,##0.00_-;_-&quot;R$&quot;\ * &quot;-&quot;??_-;_-@_-"/>
    <numFmt numFmtId="167" formatCode="_-* #,##0.00_-;\-* #,##0.00_-;_-* &quot;-&quot;??_-;_-@_-"/>
    <numFmt numFmtId="168" formatCode="_-* #,##0_-;\-* #,##0_-;_-* &quot;-&quot;??_-;_-@_-"/>
    <numFmt numFmtId="169" formatCode="0.0000%"/>
    <numFmt numFmtId="170" formatCode="0.000000%"/>
    <numFmt numFmtId="171" formatCode="_([$€-2]* #,##0.00_);_([$€-2]* \(#,##0.00\);_([$€-2]* &quot;-&quot;??_)"/>
    <numFmt numFmtId="172" formatCode="&quot;R$&quot;\ #,##0.00;[Red]&quot;R$&quot;\ \-#,##0.00"/>
    <numFmt numFmtId="173" formatCode="_ * #,##0.00_ ;_ * \-#,##0.00_ ;_ * &quot;-&quot;??_ ;_ @_ "/>
    <numFmt numFmtId="174" formatCode="000000"/>
    <numFmt numFmtId="175" formatCode="_ * #,##0.00000_ ;_ * \-#,##0.00000_ ;_ * &quot;-&quot;?????_ ;_ @_ "/>
    <numFmt numFmtId="176" formatCode="_-&quot;R$&quot;\ * #,##0_-;\-&quot;R$&quot;\ * #,##0_-;_-&quot;R$&quot;\ * &quot;-&quot;??_-;_-@_-"/>
    <numFmt numFmtId="177" formatCode="&quot;R$ &quot;#,##0.00"/>
    <numFmt numFmtId="178" formatCode="##&quot; meses&quot;"/>
    <numFmt numFmtId="179" formatCode="0.000%"/>
    <numFmt numFmtId="180" formatCode="0.0%"/>
    <numFmt numFmtId="181" formatCode="0.00000%"/>
    <numFmt numFmtId="182" formatCode="_(* #,##0.00000_);_(* \(#,##0.00000\);_(* &quot;-&quot;??_);_(@_)"/>
    <numFmt numFmtId="183" formatCode="_-&quot;R$&quot;* #,##0.00_-;\-&quot;R$&quot;* #,##0.00_-;_-&quot;R$&quot;* &quot;-&quot;??_-;_-@_-"/>
    <numFmt numFmtId="184" formatCode="[$-416]mmm\-yy;@"/>
  </numFmts>
  <fonts count="9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10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Verdana"/>
      <family val="2"/>
    </font>
    <font>
      <sz val="10"/>
      <color indexed="9"/>
      <name val="Arial"/>
      <family val="2"/>
    </font>
    <font>
      <sz val="1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4"/>
      <color indexed="9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rgb="FF990099"/>
      <name val="Arial"/>
      <family val="2"/>
    </font>
    <font>
      <b/>
      <sz val="10"/>
      <color rgb="FF990099"/>
      <name val="Arial"/>
      <family val="2"/>
    </font>
    <font>
      <b/>
      <sz val="12"/>
      <color rgb="FF990099"/>
      <name val="Arial"/>
      <family val="2"/>
    </font>
    <font>
      <sz val="10"/>
      <name val="Tahoma"/>
      <family val="2"/>
    </font>
    <font>
      <sz val="20"/>
      <name val="Tahoma"/>
      <family val="2"/>
    </font>
    <font>
      <b/>
      <sz val="16"/>
      <name val="Tahoma"/>
      <family val="2"/>
    </font>
    <font>
      <b/>
      <sz val="12"/>
      <color indexed="43"/>
      <name val="Tahoma"/>
      <family val="2"/>
    </font>
    <font>
      <b/>
      <sz val="18"/>
      <color theme="0"/>
      <name val="Tahoma"/>
      <family val="2"/>
    </font>
    <font>
      <sz val="10"/>
      <color indexed="9"/>
      <name val="Tahoma"/>
      <family val="2"/>
    </font>
    <font>
      <sz val="10"/>
      <color rgb="FFFF0000"/>
      <name val="Tahoma"/>
      <family val="2"/>
    </font>
    <font>
      <b/>
      <sz val="15"/>
      <color indexed="16"/>
      <name val="Tahoma"/>
      <family val="2"/>
    </font>
    <font>
      <sz val="10"/>
      <color theme="1"/>
      <name val="Tahoma"/>
      <family val="2"/>
    </font>
    <font>
      <b/>
      <sz val="24"/>
      <color theme="1"/>
      <name val="Tahoma"/>
      <family val="2"/>
    </font>
    <font>
      <b/>
      <sz val="12"/>
      <name val="Tahoma"/>
      <family val="2"/>
    </font>
    <font>
      <b/>
      <sz val="10"/>
      <color theme="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b/>
      <sz val="10"/>
      <name val="Tahoma"/>
      <family val="2"/>
    </font>
    <font>
      <b/>
      <sz val="16"/>
      <color rgb="FF990099"/>
      <name val="Tahoma"/>
      <family val="2"/>
    </font>
    <font>
      <b/>
      <sz val="10"/>
      <color rgb="FF990099"/>
      <name val="Tahoma"/>
      <family val="2"/>
    </font>
    <font>
      <sz val="16"/>
      <name val="Tahoma"/>
      <family val="2"/>
    </font>
    <font>
      <b/>
      <sz val="16"/>
      <color rgb="FF7D0078"/>
      <name val="Tahoma"/>
      <family val="2"/>
    </font>
    <font>
      <b/>
      <sz val="16"/>
      <color theme="0"/>
      <name val="Tahoma"/>
      <family val="2"/>
    </font>
    <font>
      <sz val="10"/>
      <color indexed="53"/>
      <name val="Tahoma"/>
      <family val="2"/>
    </font>
    <font>
      <b/>
      <sz val="20"/>
      <color rgb="FF990099"/>
      <name val="Tahoma"/>
      <family val="2"/>
    </font>
    <font>
      <b/>
      <sz val="20"/>
      <color theme="1"/>
      <name val="Tahoma"/>
      <family val="2"/>
    </font>
    <font>
      <sz val="16"/>
      <color rgb="FF990099"/>
      <name val="Tahoma"/>
      <family val="2"/>
    </font>
    <font>
      <sz val="16"/>
      <color indexed="10"/>
      <name val="Tahoma"/>
      <family val="2"/>
    </font>
    <font>
      <b/>
      <sz val="18"/>
      <name val="Tahoma"/>
      <family val="2"/>
    </font>
    <font>
      <b/>
      <sz val="16"/>
      <color indexed="10"/>
      <name val="Tahoma"/>
      <family val="2"/>
    </font>
    <font>
      <sz val="10"/>
      <color rgb="FF990099"/>
      <name val="Tahoma"/>
      <family val="2"/>
    </font>
    <font>
      <sz val="10"/>
      <color theme="0"/>
      <name val="Tahoma"/>
      <family val="2"/>
    </font>
    <font>
      <b/>
      <sz val="16"/>
      <color indexed="60"/>
      <name val="Tahoma"/>
      <family val="2"/>
    </font>
    <font>
      <b/>
      <sz val="18"/>
      <color rgb="FF990099"/>
      <name val="Tahoma"/>
      <family val="2"/>
    </font>
    <font>
      <sz val="12"/>
      <color rgb="FF990099"/>
      <name val="Tahoma"/>
      <family val="2"/>
    </font>
    <font>
      <sz val="23"/>
      <name val="Tahoma"/>
      <family val="2"/>
    </font>
    <font>
      <b/>
      <sz val="12"/>
      <color rgb="FF990099"/>
      <name val="Tahoma"/>
      <family val="2"/>
    </font>
    <font>
      <sz val="18"/>
      <color indexed="9"/>
      <name val="Tahoma"/>
      <family val="2"/>
    </font>
    <font>
      <b/>
      <sz val="16"/>
      <color rgb="FFFF0000"/>
      <name val="Tahoma"/>
      <family val="2"/>
    </font>
    <font>
      <b/>
      <sz val="10"/>
      <color indexed="9"/>
      <name val="Tahoma"/>
      <family val="2"/>
    </font>
    <font>
      <b/>
      <sz val="18"/>
      <color theme="1"/>
      <name val="Tahoma"/>
      <family val="2"/>
    </font>
    <font>
      <b/>
      <sz val="12"/>
      <color indexed="10"/>
      <name val="Tahoma"/>
      <family val="2"/>
    </font>
    <font>
      <sz val="12"/>
      <name val="Tahoma"/>
      <family val="2"/>
    </font>
    <font>
      <b/>
      <sz val="15"/>
      <name val="Tahoma"/>
      <family val="2"/>
    </font>
    <font>
      <b/>
      <sz val="36"/>
      <color rgb="FFFF0000"/>
      <name val="Tahoma"/>
      <family val="2"/>
    </font>
    <font>
      <b/>
      <sz val="15"/>
      <color rgb="FFFF0000"/>
      <name val="Tahoma"/>
      <family val="2"/>
    </font>
    <font>
      <b/>
      <sz val="12"/>
      <color rgb="FFFF0000"/>
      <name val="Tahoma"/>
      <family val="2"/>
    </font>
    <font>
      <b/>
      <sz val="10"/>
      <color rgb="FFFF0000"/>
      <name val="Tahoma"/>
      <family val="2"/>
    </font>
    <font>
      <b/>
      <sz val="12"/>
      <color theme="1"/>
      <name val="Tahoma"/>
      <family val="2"/>
    </font>
    <font>
      <b/>
      <sz val="14"/>
      <color indexed="9"/>
      <name val="Tahoma"/>
      <family val="2"/>
    </font>
    <font>
      <sz val="10"/>
      <color indexed="51"/>
      <name val="Tahoma"/>
      <family val="2"/>
    </font>
    <font>
      <sz val="14"/>
      <name val="Tahoma"/>
      <family val="2"/>
    </font>
    <font>
      <sz val="15"/>
      <name val="Tahoma"/>
      <family val="2"/>
    </font>
    <font>
      <b/>
      <sz val="20"/>
      <color theme="0"/>
      <name val="Tahoma"/>
      <family val="2"/>
    </font>
    <font>
      <sz val="16"/>
      <color theme="0"/>
      <name val="Tahoma"/>
      <family val="2"/>
    </font>
    <font>
      <b/>
      <sz val="15"/>
      <color rgb="FF990099"/>
      <name val="Tahoma"/>
      <family val="2"/>
    </font>
    <font>
      <b/>
      <sz val="11"/>
      <color rgb="FF990099"/>
      <name val="Tahoma"/>
      <family val="2"/>
    </font>
    <font>
      <sz val="14"/>
      <color rgb="FF990099"/>
      <name val="Arial"/>
      <family val="2"/>
    </font>
    <font>
      <sz val="14"/>
      <color indexed="22"/>
      <name val="Arial"/>
      <family val="2"/>
    </font>
    <font>
      <b/>
      <sz val="20"/>
      <color rgb="FFFF0000"/>
      <name val="Tahoma"/>
      <family val="2"/>
    </font>
    <font>
      <sz val="10"/>
      <color rgb="FFFF0000"/>
      <name val="Arial"/>
      <family val="2"/>
    </font>
    <font>
      <b/>
      <sz val="26"/>
      <color rgb="FF990099"/>
      <name val="Tahoma"/>
      <family val="2"/>
    </font>
    <font>
      <b/>
      <sz val="10"/>
      <color theme="1"/>
      <name val="Tahoma"/>
      <family val="2"/>
    </font>
    <font>
      <sz val="10"/>
      <color theme="0"/>
      <name val="Arial"/>
      <family val="2"/>
    </font>
    <font>
      <b/>
      <sz val="16"/>
      <color rgb="FF990099"/>
      <name val="Arial"/>
      <family val="2"/>
    </font>
    <font>
      <sz val="11"/>
      <color theme="1"/>
      <name val="Arial"/>
      <family val="2"/>
    </font>
    <font>
      <sz val="10"/>
      <color theme="0" tint="-0.14999847407452621"/>
      <name val="Arial"/>
      <family val="2"/>
    </font>
    <font>
      <sz val="16"/>
      <color rgb="FFFF0000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990099"/>
        <bgColor indexed="27"/>
      </patternFill>
    </fill>
    <fill>
      <patternFill patternType="solid">
        <fgColor rgb="FF99009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ADC00"/>
        <bgColor indexed="64"/>
      </patternFill>
    </fill>
    <fill>
      <patternFill patternType="solid">
        <fgColor rgb="FFFADC00"/>
        <bgColor indexed="27"/>
      </patternFill>
    </fill>
  </fills>
  <borders count="1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rgb="FF990099"/>
      </left>
      <right style="thick">
        <color rgb="FF990099"/>
      </right>
      <top style="thick">
        <color rgb="FF990099"/>
      </top>
      <bottom style="thick">
        <color rgb="FF990099"/>
      </bottom>
      <diagonal/>
    </border>
    <border>
      <left style="medium">
        <color rgb="FF990099"/>
      </left>
      <right/>
      <top style="medium">
        <color rgb="FF990099"/>
      </top>
      <bottom style="medium">
        <color rgb="FF990099"/>
      </bottom>
      <diagonal/>
    </border>
    <border>
      <left/>
      <right/>
      <top style="medium">
        <color rgb="FF990099"/>
      </top>
      <bottom style="medium">
        <color rgb="FF990099"/>
      </bottom>
      <diagonal/>
    </border>
    <border>
      <left/>
      <right style="medium">
        <color rgb="FF990099"/>
      </right>
      <top style="medium">
        <color rgb="FF990099"/>
      </top>
      <bottom style="medium">
        <color rgb="FF990099"/>
      </bottom>
      <diagonal/>
    </border>
    <border>
      <left/>
      <right/>
      <top style="hair">
        <color rgb="FF990099"/>
      </top>
      <bottom/>
      <diagonal/>
    </border>
    <border>
      <left style="hair">
        <color rgb="FF990099"/>
      </left>
      <right style="hair">
        <color rgb="FF990099"/>
      </right>
      <top style="hair">
        <color rgb="FF990099"/>
      </top>
      <bottom style="hair">
        <color rgb="FF990099"/>
      </bottom>
      <diagonal/>
    </border>
    <border>
      <left style="hair">
        <color rgb="FF990099"/>
      </left>
      <right style="hair">
        <color rgb="FF990099"/>
      </right>
      <top style="hair">
        <color rgb="FF990099"/>
      </top>
      <bottom/>
      <diagonal/>
    </border>
    <border>
      <left style="hair">
        <color rgb="FF990099"/>
      </left>
      <right style="hair">
        <color rgb="FF990099"/>
      </right>
      <top/>
      <bottom/>
      <diagonal/>
    </border>
    <border>
      <left style="hair">
        <color rgb="FF990099"/>
      </left>
      <right style="hair">
        <color rgb="FF990099"/>
      </right>
      <top/>
      <bottom style="hair">
        <color rgb="FF990099"/>
      </bottom>
      <diagonal/>
    </border>
    <border>
      <left/>
      <right/>
      <top style="hair">
        <color rgb="FF990099"/>
      </top>
      <bottom style="hair">
        <color rgb="FF990099"/>
      </bottom>
      <diagonal/>
    </border>
    <border>
      <left/>
      <right/>
      <top/>
      <bottom style="hair">
        <color rgb="FF990099"/>
      </bottom>
      <diagonal/>
    </border>
    <border>
      <left/>
      <right style="hair">
        <color rgb="FF990099"/>
      </right>
      <top style="hair">
        <color rgb="FF990099"/>
      </top>
      <bottom style="hair">
        <color rgb="FF990099"/>
      </bottom>
      <diagonal/>
    </border>
    <border>
      <left style="hair">
        <color rgb="FF990099"/>
      </left>
      <right/>
      <top style="hair">
        <color rgb="FF990099"/>
      </top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 style="hair">
        <color rgb="FF990099"/>
      </right>
      <top style="hair">
        <color rgb="FF990099"/>
      </top>
      <bottom/>
      <diagonal/>
    </border>
    <border>
      <left style="hair">
        <color rgb="FF990099"/>
      </left>
      <right/>
      <top/>
      <bottom style="hair">
        <color rgb="FF990099"/>
      </bottom>
      <diagonal/>
    </border>
    <border>
      <left/>
      <right style="hair">
        <color rgb="FF990099"/>
      </right>
      <top/>
      <bottom style="hair">
        <color rgb="FF990099"/>
      </bottom>
      <diagonal/>
    </border>
    <border>
      <left/>
      <right/>
      <top/>
      <bottom style="medium">
        <color rgb="FF990099"/>
      </bottom>
      <diagonal/>
    </border>
    <border>
      <left style="thin">
        <color rgb="FF990099"/>
      </left>
      <right/>
      <top/>
      <bottom/>
      <diagonal/>
    </border>
    <border>
      <left style="medium">
        <color rgb="FF990099"/>
      </left>
      <right/>
      <top/>
      <bottom/>
      <diagonal/>
    </border>
    <border>
      <left/>
      <right style="medium">
        <color rgb="FF990099"/>
      </right>
      <top/>
      <bottom/>
      <diagonal/>
    </border>
    <border>
      <left/>
      <right/>
      <top style="medium">
        <color rgb="FF990099"/>
      </top>
      <bottom/>
      <diagonal/>
    </border>
    <border>
      <left style="hair">
        <color rgb="FF990099"/>
      </left>
      <right style="medium">
        <color rgb="FF990099"/>
      </right>
      <top/>
      <bottom/>
      <diagonal/>
    </border>
    <border>
      <left style="hair">
        <color rgb="FF990099"/>
      </left>
      <right/>
      <top/>
      <bottom/>
      <diagonal/>
    </border>
    <border>
      <left style="hair">
        <color rgb="FF990099"/>
      </left>
      <right/>
      <top style="hair">
        <color rgb="FF990099"/>
      </top>
      <bottom style="hair">
        <color rgb="FF990099"/>
      </bottom>
      <diagonal/>
    </border>
    <border>
      <left style="medium">
        <color rgb="FF990099"/>
      </left>
      <right/>
      <top style="medium">
        <color rgb="FF990099"/>
      </top>
      <bottom/>
      <diagonal/>
    </border>
    <border>
      <left style="medium">
        <color rgb="FF990099"/>
      </left>
      <right/>
      <top/>
      <bottom style="medium">
        <color rgb="FF990099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/>
      <top style="hair">
        <color indexed="64"/>
      </top>
      <bottom/>
      <diagonal/>
    </border>
  </borders>
  <cellStyleXfs count="13">
    <xf numFmtId="0" fontId="0" fillId="0" borderId="0"/>
    <xf numFmtId="17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0" fillId="0" borderId="2" applyNumberFormat="0" applyFill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3" fontId="1" fillId="0" borderId="0" applyFont="0" applyFill="0" applyBorder="0" applyAlignment="0" applyProtection="0"/>
  </cellStyleXfs>
  <cellXfs count="96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0" fontId="1" fillId="0" borderId="3" xfId="4" applyNumberFormat="1" applyBorder="1" applyAlignment="1">
      <alignment horizontal="center"/>
    </xf>
    <xf numFmtId="0" fontId="0" fillId="0" borderId="0" xfId="0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9" fontId="0" fillId="3" borderId="3" xfId="0" applyNumberForma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3" borderId="3" xfId="0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167" fontId="1" fillId="0" borderId="3" xfId="10" applyNumberFormat="1" applyBorder="1" applyAlignment="1">
      <alignment horizontal="center" vertical="center"/>
    </xf>
    <xf numFmtId="167" fontId="1" fillId="0" borderId="3" xfId="10" applyNumberFormat="1" applyBorder="1" applyAlignment="1">
      <alignment horizontal="center" vertical="center" wrapText="1"/>
    </xf>
    <xf numFmtId="167" fontId="1" fillId="0" borderId="3" xfId="10" applyNumberFormat="1" applyBorder="1" applyAlignment="1">
      <alignment vertical="center" wrapText="1"/>
    </xf>
    <xf numFmtId="14" fontId="0" fillId="0" borderId="3" xfId="0" applyNumberFormat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right" vertical="center"/>
    </xf>
    <xf numFmtId="167" fontId="1" fillId="0" borderId="12" xfId="10" applyNumberFormat="1" applyBorder="1" applyAlignment="1">
      <alignment horizontal="center" vertical="center"/>
    </xf>
    <xf numFmtId="0" fontId="0" fillId="2" borderId="11" xfId="0" applyFill="1" applyBorder="1" applyAlignment="1">
      <alignment horizontal="right" vertical="center" wrapText="1"/>
    </xf>
    <xf numFmtId="167" fontId="1" fillId="0" borderId="12" xfId="10" applyNumberFormat="1" applyBorder="1" applyAlignment="1">
      <alignment horizontal="center" vertical="center" wrapText="1"/>
    </xf>
    <xf numFmtId="167" fontId="1" fillId="0" borderId="12" xfId="10" applyNumberFormat="1" applyBorder="1" applyAlignment="1">
      <alignment vertical="center" wrapText="1"/>
    </xf>
    <xf numFmtId="0" fontId="0" fillId="0" borderId="8" xfId="0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4" fontId="0" fillId="0" borderId="14" xfId="0" applyNumberFormat="1" applyBorder="1" applyAlignment="1">
      <alignment vertical="center"/>
    </xf>
    <xf numFmtId="10" fontId="1" fillId="0" borderId="14" xfId="4" applyNumberFormat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8" fontId="4" fillId="2" borderId="3" xfId="1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9" fontId="1" fillId="2" borderId="3" xfId="4" applyNumberFormat="1" applyFill="1" applyBorder="1" applyAlignment="1">
      <alignment horizontal="center" vertical="center"/>
    </xf>
    <xf numFmtId="0" fontId="0" fillId="0" borderId="0" xfId="0" applyFill="1" applyBorder="1" applyAlignment="1" applyProtection="1"/>
    <xf numFmtId="0" fontId="0" fillId="0" borderId="0" xfId="0" applyBorder="1" applyAlignment="1">
      <alignment horizontal="left" vertical="center"/>
    </xf>
    <xf numFmtId="167" fontId="0" fillId="0" borderId="0" xfId="10" applyFont="1" applyBorder="1" applyAlignment="1">
      <alignment horizontal="left" vertical="center"/>
    </xf>
    <xf numFmtId="14" fontId="0" fillId="2" borderId="3" xfId="0" applyNumberFormat="1" applyFill="1" applyBorder="1" applyAlignment="1">
      <alignment horizontal="center" vertical="center"/>
    </xf>
    <xf numFmtId="167" fontId="0" fillId="0" borderId="18" xfId="10" applyNumberFormat="1" applyFont="1" applyFill="1" applyBorder="1" applyAlignment="1" applyProtection="1">
      <alignment vertical="center"/>
    </xf>
    <xf numFmtId="10" fontId="0" fillId="0" borderId="19" xfId="4" applyNumberFormat="1" applyFont="1" applyFill="1" applyBorder="1" applyAlignment="1" applyProtection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168" fontId="0" fillId="4" borderId="3" xfId="10" applyNumberFormat="1" applyFont="1" applyFill="1" applyBorder="1" applyAlignment="1">
      <alignment horizontal="left" vertical="center"/>
    </xf>
    <xf numFmtId="1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 wrapText="1"/>
    </xf>
    <xf numFmtId="168" fontId="0" fillId="4" borderId="3" xfId="10" applyNumberFormat="1" applyFont="1" applyFill="1" applyBorder="1" applyAlignment="1">
      <alignment horizontal="left" vertical="center" wrapText="1"/>
    </xf>
    <xf numFmtId="167" fontId="0" fillId="4" borderId="3" xfId="10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4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</xf>
    <xf numFmtId="168" fontId="0" fillId="0" borderId="0" xfId="10" applyNumberFormat="1" applyFont="1" applyAlignment="1" applyProtection="1">
      <alignment vertical="center" wrapText="1"/>
    </xf>
    <xf numFmtId="10" fontId="0" fillId="0" borderId="0" xfId="4" applyNumberFormat="1" applyFont="1" applyAlignment="1" applyProtection="1">
      <alignment vertical="center" wrapText="1"/>
    </xf>
    <xf numFmtId="168" fontId="4" fillId="0" borderId="27" xfId="10" applyNumberFormat="1" applyFont="1" applyBorder="1" applyAlignment="1" applyProtection="1">
      <alignment horizontal="center" vertical="center" wrapText="1"/>
    </xf>
    <xf numFmtId="168" fontId="0" fillId="0" borderId="3" xfId="10" applyNumberFormat="1" applyFont="1" applyBorder="1" applyAlignment="1" applyProtection="1">
      <alignment horizontal="center" vertical="center" wrapText="1"/>
    </xf>
    <xf numFmtId="10" fontId="0" fillId="0" borderId="3" xfId="4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168" fontId="0" fillId="5" borderId="19" xfId="10" applyNumberFormat="1" applyFont="1" applyFill="1" applyBorder="1" applyAlignment="1" applyProtection="1">
      <alignment horizontal="center" vertical="center" wrapText="1"/>
    </xf>
    <xf numFmtId="167" fontId="5" fillId="0" borderId="3" xfId="10" applyFont="1" applyBorder="1" applyAlignment="1" applyProtection="1">
      <alignment vertical="center" wrapText="1"/>
    </xf>
    <xf numFmtId="168" fontId="5" fillId="0" borderId="3" xfId="10" applyNumberFormat="1" applyFont="1" applyBorder="1" applyAlignment="1" applyProtection="1">
      <alignment vertical="center" wrapText="1"/>
    </xf>
    <xf numFmtId="168" fontId="1" fillId="5" borderId="3" xfId="10" applyNumberFormat="1" applyFill="1" applyBorder="1" applyAlignment="1" applyProtection="1">
      <alignment vertical="center" wrapText="1"/>
    </xf>
    <xf numFmtId="168" fontId="1" fillId="0" borderId="19" xfId="10" applyNumberFormat="1" applyFill="1" applyBorder="1" applyAlignment="1" applyProtection="1">
      <alignment vertical="center" wrapText="1"/>
    </xf>
    <xf numFmtId="167" fontId="2" fillId="7" borderId="28" xfId="10" applyFont="1" applyFill="1" applyBorder="1" applyAlignment="1" applyProtection="1">
      <alignment horizontal="center" vertical="center"/>
    </xf>
    <xf numFmtId="167" fontId="2" fillId="7" borderId="29" xfId="10" applyFont="1" applyFill="1" applyBorder="1" applyAlignment="1" applyProtection="1">
      <alignment horizontal="center" vertical="center"/>
    </xf>
    <xf numFmtId="167" fontId="2" fillId="7" borderId="30" xfId="10" applyFont="1" applyFill="1" applyBorder="1" applyAlignment="1" applyProtection="1">
      <alignment horizontal="center" vertical="center"/>
    </xf>
    <xf numFmtId="167" fontId="2" fillId="7" borderId="6" xfId="10" applyFont="1" applyFill="1" applyBorder="1" applyAlignment="1" applyProtection="1">
      <alignment horizontal="center" vertical="center"/>
    </xf>
    <xf numFmtId="167" fontId="2" fillId="7" borderId="31" xfId="10" applyFont="1" applyFill="1" applyBorder="1" applyAlignment="1" applyProtection="1">
      <alignment horizontal="center" vertical="center"/>
    </xf>
    <xf numFmtId="0" fontId="15" fillId="8" borderId="15" xfId="0" applyFont="1" applyFill="1" applyBorder="1" applyAlignment="1" applyProtection="1">
      <alignment horizontal="center" vertical="center"/>
    </xf>
    <xf numFmtId="9" fontId="4" fillId="0" borderId="0" xfId="4" applyFont="1" applyAlignment="1" applyProtection="1">
      <alignment vertical="center" wrapText="1"/>
    </xf>
    <xf numFmtId="168" fontId="9" fillId="0" borderId="3" xfId="10" applyNumberFormat="1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167" fontId="0" fillId="0" borderId="11" xfId="10" applyFont="1" applyBorder="1" applyAlignment="1" applyProtection="1">
      <alignment vertical="center"/>
    </xf>
    <xf numFmtId="167" fontId="0" fillId="0" borderId="3" xfId="10" applyFont="1" applyBorder="1" applyAlignment="1" applyProtection="1">
      <alignment vertical="center"/>
    </xf>
    <xf numFmtId="167" fontId="0" fillId="0" borderId="12" xfId="10" applyFont="1" applyBorder="1" applyAlignment="1" applyProtection="1">
      <alignment horizontal="center" vertical="center"/>
    </xf>
    <xf numFmtId="167" fontId="0" fillId="0" borderId="31" xfId="1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32" xfId="0" applyFill="1" applyBorder="1" applyAlignment="1" applyProtection="1">
      <alignment vertical="center"/>
    </xf>
    <xf numFmtId="0" fontId="0" fillId="0" borderId="33" xfId="0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5" borderId="34" xfId="0" applyFill="1" applyBorder="1" applyAlignment="1" applyProtection="1">
      <alignment vertical="center"/>
    </xf>
    <xf numFmtId="168" fontId="0" fillId="0" borderId="3" xfId="10" applyNumberFormat="1" applyFont="1" applyBorder="1" applyAlignment="1" applyProtection="1">
      <alignment vertical="center" wrapText="1"/>
    </xf>
    <xf numFmtId="0" fontId="0" fillId="0" borderId="5" xfId="0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168" fontId="1" fillId="0" borderId="3" xfId="10" applyNumberFormat="1" applyBorder="1" applyAlignment="1" applyProtection="1">
      <alignment vertical="center" wrapText="1"/>
    </xf>
    <xf numFmtId="0" fontId="0" fillId="0" borderId="16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167" fontId="0" fillId="0" borderId="3" xfId="10" applyFont="1" applyBorder="1" applyAlignment="1" applyProtection="1">
      <alignment vertical="center" wrapText="1"/>
    </xf>
    <xf numFmtId="167" fontId="0" fillId="0" borderId="12" xfId="10" applyFont="1" applyBorder="1" applyAlignment="1" applyProtection="1">
      <alignment vertical="center"/>
    </xf>
    <xf numFmtId="167" fontId="0" fillId="0" borderId="31" xfId="10" applyFont="1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" xfId="0" applyBorder="1" applyAlignment="1" applyProtection="1">
      <alignment vertical="center" wrapText="1"/>
    </xf>
    <xf numFmtId="0" fontId="0" fillId="0" borderId="3" xfId="0" applyBorder="1" applyAlignment="1" applyProtection="1">
      <alignment horizontal="right" vertical="center" wrapText="1"/>
    </xf>
    <xf numFmtId="167" fontId="2" fillId="7" borderId="11" xfId="10" applyFont="1" applyFill="1" applyBorder="1" applyAlignment="1" applyProtection="1">
      <alignment horizontal="center" vertical="center"/>
    </xf>
    <xf numFmtId="167" fontId="2" fillId="7" borderId="3" xfId="10" applyFont="1" applyFill="1" applyBorder="1" applyAlignment="1" applyProtection="1">
      <alignment horizontal="center" vertical="center"/>
    </xf>
    <xf numFmtId="167" fontId="2" fillId="7" borderId="12" xfId="10" applyFont="1" applyFill="1" applyBorder="1" applyAlignment="1" applyProtection="1">
      <alignment horizontal="center" vertical="center"/>
    </xf>
    <xf numFmtId="0" fontId="0" fillId="0" borderId="34" xfId="0" applyBorder="1" applyAlignment="1" applyProtection="1">
      <alignment vertical="center"/>
    </xf>
    <xf numFmtId="9" fontId="0" fillId="3" borderId="11" xfId="0" applyNumberFormat="1" applyFill="1" applyBorder="1" applyAlignment="1" applyProtection="1">
      <alignment horizontal="center" vertical="center"/>
    </xf>
    <xf numFmtId="9" fontId="0" fillId="3" borderId="3" xfId="0" applyNumberFormat="1" applyFill="1" applyBorder="1" applyAlignment="1" applyProtection="1">
      <alignment horizontal="center" vertical="center"/>
    </xf>
    <xf numFmtId="9" fontId="0" fillId="3" borderId="31" xfId="0" applyNumberFormat="1" applyFill="1" applyBorder="1" applyAlignment="1" applyProtection="1">
      <alignment vertical="center"/>
    </xf>
    <xf numFmtId="168" fontId="0" fillId="0" borderId="3" xfId="10" applyNumberFormat="1" applyFont="1" applyBorder="1" applyAlignment="1" applyProtection="1">
      <alignment horizontal="right" vertical="center" wrapText="1"/>
    </xf>
    <xf numFmtId="168" fontId="0" fillId="5" borderId="19" xfId="10" applyNumberFormat="1" applyFont="1" applyFill="1" applyBorder="1" applyAlignment="1" applyProtection="1">
      <alignment vertical="center" wrapText="1"/>
    </xf>
    <xf numFmtId="167" fontId="0" fillId="0" borderId="31" xfId="10" applyFont="1" applyBorder="1" applyAlignment="1" applyProtection="1">
      <alignment vertical="center" wrapText="1"/>
    </xf>
    <xf numFmtId="10" fontId="5" fillId="0" borderId="3" xfId="0" applyNumberFormat="1" applyFont="1" applyBorder="1" applyAlignment="1" applyProtection="1">
      <alignment vertical="center" wrapText="1"/>
    </xf>
    <xf numFmtId="168" fontId="0" fillId="0" borderId="19" xfId="1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168" fontId="0" fillId="0" borderId="0" xfId="10" applyNumberFormat="1" applyFont="1" applyFill="1" applyBorder="1" applyAlignment="1" applyProtection="1">
      <alignment vertical="center"/>
    </xf>
    <xf numFmtId="0" fontId="5" fillId="0" borderId="3" xfId="0" applyFont="1" applyBorder="1" applyAlignment="1" applyProtection="1">
      <alignment vertical="center" wrapText="1"/>
    </xf>
    <xf numFmtId="0" fontId="4" fillId="0" borderId="0" xfId="0" applyFont="1" applyFill="1" applyAlignment="1" applyProtection="1">
      <alignment vertical="center" wrapText="1"/>
    </xf>
    <xf numFmtId="167" fontId="2" fillId="0" borderId="3" xfId="10" applyFont="1" applyFill="1" applyBorder="1" applyAlignment="1" applyProtection="1">
      <alignment vertical="center"/>
    </xf>
    <xf numFmtId="167" fontId="0" fillId="0" borderId="3" xfId="10" applyFont="1" applyFill="1" applyBorder="1" applyAlignment="1" applyProtection="1">
      <alignment vertical="center"/>
    </xf>
    <xf numFmtId="168" fontId="4" fillId="0" borderId="37" xfId="10" applyNumberFormat="1" applyFont="1" applyBorder="1" applyAlignment="1" applyProtection="1">
      <alignment vertical="center" wrapText="1"/>
    </xf>
    <xf numFmtId="9" fontId="0" fillId="0" borderId="3" xfId="0" applyNumberFormat="1" applyFill="1" applyBorder="1" applyAlignment="1" applyProtection="1">
      <alignment vertical="center"/>
    </xf>
    <xf numFmtId="167" fontId="2" fillId="7" borderId="3" xfId="10" applyFont="1" applyFill="1" applyBorder="1" applyAlignment="1" applyProtection="1">
      <alignment vertical="center"/>
    </xf>
    <xf numFmtId="168" fontId="0" fillId="9" borderId="19" xfId="10" applyNumberFormat="1" applyFont="1" applyFill="1" applyBorder="1" applyAlignment="1" applyProtection="1">
      <alignment vertical="center"/>
    </xf>
    <xf numFmtId="167" fontId="0" fillId="0" borderId="3" xfId="0" applyNumberFormat="1" applyBorder="1" applyAlignment="1" applyProtection="1">
      <alignment vertical="center"/>
    </xf>
    <xf numFmtId="43" fontId="0" fillId="0" borderId="3" xfId="0" applyNumberFormat="1" applyBorder="1" applyAlignment="1" applyProtection="1">
      <alignment vertical="center"/>
    </xf>
    <xf numFmtId="167" fontId="2" fillId="7" borderId="19" xfId="10" applyFont="1" applyFill="1" applyBorder="1" applyAlignment="1" applyProtection="1">
      <alignment horizontal="center" vertical="center"/>
    </xf>
    <xf numFmtId="43" fontId="4" fillId="0" borderId="3" xfId="0" applyNumberFormat="1" applyFont="1" applyBorder="1" applyAlignment="1" applyProtection="1">
      <alignment vertical="center" wrapText="1"/>
    </xf>
    <xf numFmtId="167" fontId="5" fillId="0" borderId="3" xfId="0" applyNumberFormat="1" applyFont="1" applyBorder="1" applyAlignment="1" applyProtection="1">
      <alignment vertical="center" wrapText="1"/>
    </xf>
    <xf numFmtId="168" fontId="0" fillId="0" borderId="19" xfId="10" applyNumberFormat="1" applyFont="1" applyBorder="1" applyAlignment="1" applyProtection="1">
      <alignment vertical="center" wrapText="1"/>
    </xf>
    <xf numFmtId="168" fontId="0" fillId="0" borderId="37" xfId="10" applyNumberFormat="1" applyFont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168" fontId="4" fillId="0" borderId="0" xfId="10" applyNumberFormat="1" applyFont="1" applyAlignment="1" applyProtection="1">
      <alignment vertical="center" wrapText="1"/>
    </xf>
    <xf numFmtId="168" fontId="4" fillId="0" borderId="19" xfId="10" applyNumberFormat="1" applyFont="1" applyBorder="1" applyAlignment="1" applyProtection="1">
      <alignment vertical="center" wrapText="1"/>
    </xf>
    <xf numFmtId="168" fontId="4" fillId="5" borderId="19" xfId="10" applyNumberFormat="1" applyFont="1" applyFill="1" applyBorder="1" applyAlignment="1" applyProtection="1">
      <alignment vertical="center" wrapText="1"/>
    </xf>
    <xf numFmtId="0" fontId="4" fillId="5" borderId="3" xfId="0" applyFont="1" applyFill="1" applyBorder="1" applyAlignment="1" applyProtection="1">
      <alignment vertical="center" wrapText="1"/>
    </xf>
    <xf numFmtId="168" fontId="4" fillId="0" borderId="0" xfId="0" applyNumberFormat="1" applyFont="1" applyAlignment="1" applyProtection="1">
      <alignment vertical="center" wrapText="1"/>
    </xf>
    <xf numFmtId="9" fontId="0" fillId="0" borderId="3" xfId="0" applyNumberFormat="1" applyBorder="1" applyAlignment="1" applyProtection="1">
      <alignment vertical="center" wrapText="1"/>
    </xf>
    <xf numFmtId="168" fontId="0" fillId="0" borderId="0" xfId="0" applyNumberFormat="1" applyFill="1" applyAlignment="1" applyProtection="1">
      <alignment vertical="center" wrapText="1"/>
    </xf>
    <xf numFmtId="0" fontId="0" fillId="11" borderId="5" xfId="0" applyFill="1" applyBorder="1" applyAlignment="1">
      <alignment vertical="center"/>
    </xf>
    <xf numFmtId="0" fontId="0" fillId="11" borderId="3" xfId="0" applyFill="1" applyBorder="1" applyAlignment="1">
      <alignment horizontal="right" vertical="center"/>
    </xf>
    <xf numFmtId="14" fontId="0" fillId="11" borderId="3" xfId="0" applyNumberFormat="1" applyFill="1" applyBorder="1" applyAlignment="1">
      <alignment horizontal="center" vertical="center"/>
    </xf>
    <xf numFmtId="167" fontId="1" fillId="11" borderId="3" xfId="10" applyNumberFormat="1" applyFill="1" applyBorder="1" applyAlignment="1">
      <alignment horizontal="center" vertical="center"/>
    </xf>
    <xf numFmtId="167" fontId="1" fillId="11" borderId="3" xfId="10" applyNumberFormat="1" applyFill="1" applyBorder="1" applyAlignment="1">
      <alignment horizontal="center" vertical="center" wrapText="1"/>
    </xf>
    <xf numFmtId="167" fontId="1" fillId="11" borderId="3" xfId="10" applyNumberFormat="1" applyFill="1" applyBorder="1" applyAlignment="1">
      <alignment vertical="center" wrapText="1"/>
    </xf>
    <xf numFmtId="0" fontId="0" fillId="2" borderId="0" xfId="0" applyFill="1" applyBorder="1" applyAlignment="1">
      <alignment horizontal="right" vertical="center"/>
    </xf>
    <xf numFmtId="9" fontId="0" fillId="3" borderId="0" xfId="0" applyNumberForma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0" fillId="4" borderId="4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0" fontId="0" fillId="2" borderId="13" xfId="0" applyFill="1" applyBorder="1" applyAlignment="1">
      <alignment horizontal="right" vertical="center"/>
    </xf>
    <xf numFmtId="167" fontId="1" fillId="11" borderId="14" xfId="10" applyNumberForma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11" borderId="3" xfId="0" applyFill="1" applyBorder="1" applyAlignment="1">
      <alignment horizontal="left" vertical="center"/>
    </xf>
    <xf numFmtId="0" fontId="0" fillId="11" borderId="3" xfId="0" applyFill="1" applyBorder="1" applyAlignment="1">
      <alignment horizontal="left" vertical="center" wrapText="1"/>
    </xf>
    <xf numFmtId="0" fontId="0" fillId="11" borderId="14" xfId="0" applyFill="1" applyBorder="1" applyAlignment="1">
      <alignment horizontal="left" vertical="center"/>
    </xf>
    <xf numFmtId="0" fontId="1" fillId="11" borderId="12" xfId="10" applyNumberFormat="1" applyFill="1" applyBorder="1" applyAlignment="1">
      <alignment horizontal="center" vertical="center"/>
    </xf>
    <xf numFmtId="0" fontId="1" fillId="11" borderId="12" xfId="10" applyNumberForma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/>
    </xf>
    <xf numFmtId="0" fontId="1" fillId="11" borderId="34" xfId="10" applyNumberFormat="1" applyFill="1" applyBorder="1" applyAlignment="1">
      <alignment horizontal="center" vertical="center"/>
    </xf>
    <xf numFmtId="0" fontId="4" fillId="11" borderId="3" xfId="0" applyFont="1" applyFill="1" applyBorder="1" applyAlignment="1" applyProtection="1">
      <alignment vertical="center" wrapText="1"/>
    </xf>
    <xf numFmtId="0" fontId="0" fillId="11" borderId="3" xfId="0" applyFill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166" fontId="16" fillId="0" borderId="0" xfId="2" applyFont="1" applyFill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3" xfId="0" applyNumberFormat="1" applyFont="1" applyFill="1" applyBorder="1" applyAlignment="1" applyProtection="1">
      <alignment vertical="center" wrapText="1"/>
    </xf>
    <xf numFmtId="2" fontId="0" fillId="0" borderId="3" xfId="0" applyNumberFormat="1" applyBorder="1" applyAlignment="1" applyProtection="1">
      <alignment vertical="center" wrapText="1"/>
    </xf>
    <xf numFmtId="179" fontId="0" fillId="0" borderId="3" xfId="4" applyNumberFormat="1" applyFont="1" applyBorder="1" applyAlignment="1" applyProtection="1">
      <alignment vertical="center" wrapText="1"/>
    </xf>
    <xf numFmtId="0" fontId="18" fillId="12" borderId="6" xfId="0" applyFont="1" applyFill="1" applyBorder="1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center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 wrapText="1"/>
    </xf>
    <xf numFmtId="0" fontId="20" fillId="12" borderId="6" xfId="0" applyFont="1" applyFill="1" applyBorder="1" applyAlignment="1">
      <alignment vertical="center"/>
    </xf>
    <xf numFmtId="180" fontId="0" fillId="0" borderId="3" xfId="0" applyNumberFormat="1" applyBorder="1"/>
    <xf numFmtId="167" fontId="23" fillId="16" borderId="3" xfId="10" applyNumberFormat="1" applyFont="1" applyFill="1" applyBorder="1" applyAlignment="1">
      <alignment horizontal="center" vertical="center" wrapText="1"/>
    </xf>
    <xf numFmtId="167" fontId="23" fillId="16" borderId="3" xfId="10" applyNumberFormat="1" applyFont="1" applyFill="1" applyBorder="1" applyAlignment="1">
      <alignment vertical="center" wrapText="1"/>
    </xf>
    <xf numFmtId="0" fontId="23" fillId="16" borderId="12" xfId="10" applyNumberFormat="1" applyFont="1" applyFill="1" applyBorder="1" applyAlignment="1">
      <alignment horizontal="center" vertical="center"/>
    </xf>
    <xf numFmtId="0" fontId="23" fillId="16" borderId="12" xfId="10" applyNumberFormat="1" applyFont="1" applyFill="1" applyBorder="1" applyAlignment="1">
      <alignment horizontal="center" vertical="center" wrapText="1"/>
    </xf>
    <xf numFmtId="0" fontId="0" fillId="16" borderId="3" xfId="0" applyFill="1" applyBorder="1" applyAlignment="1">
      <alignment horizontal="right" vertical="center"/>
    </xf>
    <xf numFmtId="14" fontId="0" fillId="16" borderId="3" xfId="0" applyNumberFormat="1" applyFill="1" applyBorder="1" applyAlignment="1">
      <alignment horizontal="center" vertical="center"/>
    </xf>
    <xf numFmtId="180" fontId="4" fillId="16" borderId="3" xfId="0" applyNumberFormat="1" applyFont="1" applyFill="1" applyBorder="1" applyAlignment="1" applyProtection="1">
      <alignment vertical="center" wrapText="1"/>
    </xf>
    <xf numFmtId="0" fontId="15" fillId="12" borderId="5" xfId="0" applyFont="1" applyFill="1" applyBorder="1" applyAlignment="1">
      <alignment vertical="center"/>
    </xf>
    <xf numFmtId="167" fontId="23" fillId="17" borderId="3" xfId="10" applyNumberFormat="1" applyFont="1" applyFill="1" applyBorder="1" applyAlignment="1">
      <alignment horizontal="center" vertical="center"/>
    </xf>
    <xf numFmtId="0" fontId="1" fillId="0" borderId="3" xfId="0" applyFont="1" applyBorder="1" applyProtection="1"/>
    <xf numFmtId="0" fontId="0" fillId="18" borderId="6" xfId="0" applyFill="1" applyBorder="1" applyAlignment="1">
      <alignment vertical="center"/>
    </xf>
    <xf numFmtId="0" fontId="1" fillId="11" borderId="3" xfId="0" applyFont="1" applyFill="1" applyBorder="1" applyAlignment="1">
      <alignment horizontal="left" vertical="center"/>
    </xf>
    <xf numFmtId="0" fontId="1" fillId="11" borderId="3" xfId="0" applyFont="1" applyFill="1" applyBorder="1" applyAlignment="1">
      <alignment horizontal="left" vertical="center" wrapText="1"/>
    </xf>
    <xf numFmtId="169" fontId="0" fillId="0" borderId="0" xfId="0" applyNumberFormat="1"/>
    <xf numFmtId="14" fontId="1" fillId="16" borderId="3" xfId="0" applyNumberFormat="1" applyFont="1" applyFill="1" applyBorder="1" applyAlignment="1" applyProtection="1">
      <alignment vertical="center" wrapText="1"/>
    </xf>
    <xf numFmtId="0" fontId="0" fillId="0" borderId="0" xfId="0" applyProtection="1">
      <protection hidden="1"/>
    </xf>
    <xf numFmtId="0" fontId="11" fillId="0" borderId="0" xfId="0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  <protection hidden="1"/>
    </xf>
    <xf numFmtId="22" fontId="12" fillId="0" borderId="0" xfId="0" applyNumberFormat="1" applyFont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0" borderId="42" xfId="0" applyBorder="1" applyProtection="1">
      <protection hidden="1"/>
    </xf>
    <xf numFmtId="0" fontId="0" fillId="0" borderId="43" xfId="0" applyBorder="1" applyProtection="1">
      <protection hidden="1"/>
    </xf>
    <xf numFmtId="0" fontId="0" fillId="14" borderId="43" xfId="0" applyFill="1" applyBorder="1" applyAlignment="1" applyProtection="1">
      <protection hidden="1"/>
    </xf>
    <xf numFmtId="0" fontId="0" fillId="0" borderId="44" xfId="0" applyFill="1" applyBorder="1" applyAlignment="1" applyProtection="1">
      <protection hidden="1"/>
    </xf>
    <xf numFmtId="0" fontId="4" fillId="0" borderId="43" xfId="0" applyFont="1" applyBorder="1" applyProtection="1">
      <protection hidden="1"/>
    </xf>
    <xf numFmtId="22" fontId="4" fillId="0" borderId="43" xfId="0" applyNumberFormat="1" applyFont="1" applyBorder="1" applyAlignment="1" applyProtection="1">
      <alignment horizontal="left"/>
      <protection hidden="1"/>
    </xf>
    <xf numFmtId="22" fontId="12" fillId="0" borderId="44" xfId="0" applyNumberFormat="1" applyFont="1" applyBorder="1" applyAlignment="1" applyProtection="1">
      <alignment horizontal="center"/>
      <protection hidden="1"/>
    </xf>
    <xf numFmtId="0" fontId="0" fillId="0" borderId="45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46" xfId="0" applyBorder="1" applyProtection="1">
      <protection hidden="1"/>
    </xf>
    <xf numFmtId="22" fontId="12" fillId="15" borderId="0" xfId="0" applyNumberFormat="1" applyFont="1" applyFill="1" applyBorder="1" applyAlignment="1" applyProtection="1">
      <alignment horizontal="left"/>
      <protection hidden="1"/>
    </xf>
    <xf numFmtId="22" fontId="12" fillId="15" borderId="46" xfId="0" applyNumberFormat="1" applyFont="1" applyFill="1" applyBorder="1" applyAlignment="1" applyProtection="1">
      <alignment horizontal="center"/>
      <protection hidden="1"/>
    </xf>
    <xf numFmtId="174" fontId="0" fillId="15" borderId="0" xfId="0" applyNumberFormat="1" applyFill="1" applyBorder="1" applyAlignment="1" applyProtection="1">
      <alignment horizontal="center"/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0" fillId="0" borderId="49" xfId="0" applyBorder="1" applyProtection="1">
      <protection hidden="1"/>
    </xf>
    <xf numFmtId="0" fontId="0" fillId="0" borderId="0" xfId="0" applyFill="1" applyBorder="1" applyProtection="1">
      <protection hidden="1"/>
    </xf>
    <xf numFmtId="14" fontId="0" fillId="15" borderId="0" xfId="0" applyNumberFormat="1" applyFill="1" applyBorder="1" applyAlignment="1" applyProtection="1">
      <alignment horizontal="center"/>
      <protection hidden="1"/>
    </xf>
    <xf numFmtId="169" fontId="1" fillId="0" borderId="44" xfId="4" applyNumberFormat="1" applyBorder="1" applyProtection="1">
      <protection hidden="1"/>
    </xf>
    <xf numFmtId="169" fontId="1" fillId="0" borderId="46" xfId="4" applyNumberFormat="1" applyBorder="1" applyProtection="1">
      <protection hidden="1"/>
    </xf>
    <xf numFmtId="22" fontId="12" fillId="0" borderId="0" xfId="0" applyNumberFormat="1" applyFont="1" applyBorder="1" applyAlignment="1" applyProtection="1">
      <alignment horizontal="center"/>
      <protection hidden="1"/>
    </xf>
    <xf numFmtId="22" fontId="12" fillId="0" borderId="46" xfId="0" applyNumberFormat="1" applyFont="1" applyBorder="1" applyAlignment="1" applyProtection="1">
      <alignment horizontal="center"/>
      <protection hidden="1"/>
    </xf>
    <xf numFmtId="167" fontId="0" fillId="0" borderId="47" xfId="10" applyNumberFormat="1" applyFont="1" applyBorder="1" applyProtection="1">
      <protection hidden="1"/>
    </xf>
    <xf numFmtId="167" fontId="0" fillId="0" borderId="49" xfId="10" applyNumberFormat="1" applyFont="1" applyBorder="1" applyProtection="1">
      <protection hidden="1"/>
    </xf>
    <xf numFmtId="22" fontId="12" fillId="0" borderId="48" xfId="0" applyNumberFormat="1" applyFont="1" applyBorder="1" applyAlignment="1" applyProtection="1">
      <alignment horizontal="center"/>
      <protection hidden="1"/>
    </xf>
    <xf numFmtId="22" fontId="12" fillId="0" borderId="49" xfId="0" applyNumberFormat="1" applyFont="1" applyBorder="1" applyAlignment="1" applyProtection="1">
      <alignment horizontal="center"/>
      <protection hidden="1"/>
    </xf>
    <xf numFmtId="0" fontId="0" fillId="0" borderId="43" xfId="0" applyFill="1" applyBorder="1" applyAlignment="1" applyProtection="1">
      <protection hidden="1"/>
    </xf>
    <xf numFmtId="0" fontId="0" fillId="0" borderId="43" xfId="0" applyBorder="1" applyAlignment="1" applyProtection="1">
      <alignment horizontal="center"/>
      <protection hidden="1"/>
    </xf>
    <xf numFmtId="10" fontId="1" fillId="0" borderId="0" xfId="4" applyNumberFormat="1" applyProtection="1">
      <protection hidden="1"/>
    </xf>
    <xf numFmtId="173" fontId="1" fillId="0" borderId="0" xfId="7" applyProtection="1">
      <protection hidden="1"/>
    </xf>
    <xf numFmtId="0" fontId="4" fillId="0" borderId="50" xfId="0" applyFont="1" applyBorder="1" applyAlignment="1" applyProtection="1">
      <alignment horizontal="center"/>
      <protection hidden="1"/>
    </xf>
    <xf numFmtId="0" fontId="4" fillId="0" borderId="51" xfId="0" applyFont="1" applyBorder="1" applyAlignment="1" applyProtection="1">
      <alignment horizontal="center"/>
      <protection hidden="1"/>
    </xf>
    <xf numFmtId="170" fontId="1" fillId="0" borderId="0" xfId="4" applyNumberFormat="1" applyProtection="1">
      <protection hidden="1"/>
    </xf>
    <xf numFmtId="0" fontId="0" fillId="0" borderId="52" xfId="0" applyBorder="1" applyAlignment="1" applyProtection="1">
      <alignment horizontal="center"/>
      <protection hidden="1"/>
    </xf>
    <xf numFmtId="0" fontId="0" fillId="0" borderId="52" xfId="0" applyFill="1" applyBorder="1" applyAlignment="1" applyProtection="1">
      <alignment horizontal="center"/>
      <protection hidden="1"/>
    </xf>
    <xf numFmtId="14" fontId="0" fillId="0" borderId="52" xfId="0" applyNumberFormat="1" applyFill="1" applyBorder="1" applyAlignment="1" applyProtection="1">
      <alignment horizontal="center"/>
      <protection hidden="1"/>
    </xf>
    <xf numFmtId="14" fontId="0" fillId="0" borderId="52" xfId="0" applyNumberFormat="1" applyBorder="1" applyAlignment="1" applyProtection="1">
      <alignment horizontal="center"/>
      <protection hidden="1"/>
    </xf>
    <xf numFmtId="173" fontId="1" fillId="0" borderId="52" xfId="8" applyBorder="1" applyProtection="1">
      <protection hidden="1"/>
    </xf>
    <xf numFmtId="173" fontId="1" fillId="0" borderId="52" xfId="7" applyBorder="1" applyProtection="1">
      <protection hidden="1"/>
    </xf>
    <xf numFmtId="172" fontId="1" fillId="0" borderId="0" xfId="7" applyNumberFormat="1" applyProtection="1">
      <protection hidden="1"/>
    </xf>
    <xf numFmtId="0" fontId="4" fillId="0" borderId="0" xfId="0" applyFont="1" applyProtection="1">
      <protection hidden="1"/>
    </xf>
    <xf numFmtId="173" fontId="1" fillId="0" borderId="52" xfId="7" applyFill="1" applyBorder="1" applyProtection="1">
      <protection hidden="1"/>
    </xf>
    <xf numFmtId="0" fontId="0" fillId="15" borderId="3" xfId="0" applyFill="1" applyBorder="1" applyProtection="1">
      <protection hidden="1"/>
    </xf>
    <xf numFmtId="0" fontId="4" fillId="0" borderId="53" xfId="0" applyFont="1" applyBorder="1" applyProtection="1">
      <protection hidden="1"/>
    </xf>
    <xf numFmtId="173" fontId="4" fillId="0" borderId="54" xfId="0" applyNumberFormat="1" applyFont="1" applyFill="1" applyBorder="1" applyProtection="1">
      <protection hidden="1"/>
    </xf>
    <xf numFmtId="173" fontId="4" fillId="0" borderId="54" xfId="0" applyNumberFormat="1" applyFont="1" applyBorder="1" applyProtection="1">
      <protection hidden="1"/>
    </xf>
    <xf numFmtId="173" fontId="4" fillId="0" borderId="55" xfId="0" applyNumberFormat="1" applyFont="1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4" borderId="3" xfId="0" applyFill="1" applyBorder="1" applyProtection="1"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15" borderId="52" xfId="0" applyFill="1" applyBorder="1" applyAlignment="1" applyProtection="1">
      <alignment horizontal="center"/>
      <protection hidden="1"/>
    </xf>
    <xf numFmtId="14" fontId="0" fillId="15" borderId="52" xfId="0" applyNumberFormat="1" applyFill="1" applyBorder="1" applyAlignment="1" applyProtection="1">
      <alignment horizontal="center"/>
      <protection hidden="1"/>
    </xf>
    <xf numFmtId="173" fontId="1" fillId="15" borderId="52" xfId="8" applyFill="1" applyBorder="1" applyProtection="1">
      <protection hidden="1"/>
    </xf>
    <xf numFmtId="10" fontId="1" fillId="0" borderId="45" xfId="4" applyNumberFormat="1" applyBorder="1" applyProtection="1">
      <protection hidden="1"/>
    </xf>
    <xf numFmtId="10" fontId="1" fillId="0" borderId="26" xfId="4" applyNumberFormat="1" applyBorder="1" applyProtection="1">
      <protection hidden="1"/>
    </xf>
    <xf numFmtId="168" fontId="0" fillId="0" borderId="3" xfId="10" applyNumberFormat="1" applyFont="1" applyBorder="1" applyProtection="1">
      <protection hidden="1"/>
    </xf>
    <xf numFmtId="173" fontId="1" fillId="0" borderId="4" xfId="7" applyBorder="1" applyProtection="1">
      <protection hidden="1"/>
    </xf>
    <xf numFmtId="173" fontId="0" fillId="0" borderId="3" xfId="0" applyNumberFormat="1" applyBorder="1" applyProtection="1">
      <protection hidden="1"/>
    </xf>
    <xf numFmtId="10" fontId="1" fillId="0" borderId="23" xfId="4" applyNumberFormat="1" applyBorder="1" applyProtection="1">
      <protection hidden="1"/>
    </xf>
    <xf numFmtId="173" fontId="1" fillId="15" borderId="52" xfId="7" applyFill="1" applyBorder="1" applyProtection="1">
      <protection hidden="1"/>
    </xf>
    <xf numFmtId="173" fontId="0" fillId="5" borderId="3" xfId="0" applyNumberFormat="1" applyFill="1" applyBorder="1" applyProtection="1">
      <protection hidden="1"/>
    </xf>
    <xf numFmtId="43" fontId="0" fillId="0" borderId="0" xfId="0" applyNumberFormat="1" applyProtection="1">
      <protection hidden="1"/>
    </xf>
    <xf numFmtId="0" fontId="4" fillId="0" borderId="52" xfId="0" applyFont="1" applyFill="1" applyBorder="1" applyAlignment="1" applyProtection="1">
      <alignment horizontal="center"/>
      <protection hidden="1"/>
    </xf>
    <xf numFmtId="14" fontId="4" fillId="0" borderId="52" xfId="0" applyNumberFormat="1" applyFont="1" applyFill="1" applyBorder="1" applyAlignment="1" applyProtection="1">
      <alignment horizontal="center"/>
      <protection hidden="1"/>
    </xf>
    <xf numFmtId="173" fontId="4" fillId="0" borderId="52" xfId="8" applyFont="1" applyFill="1" applyBorder="1" applyProtection="1">
      <protection hidden="1"/>
    </xf>
    <xf numFmtId="173" fontId="4" fillId="0" borderId="52" xfId="7" applyFont="1" applyBorder="1" applyProtection="1">
      <protection hidden="1"/>
    </xf>
    <xf numFmtId="173" fontId="0" fillId="0" borderId="15" xfId="0" applyNumberFormat="1" applyBorder="1" applyProtection="1">
      <protection hidden="1"/>
    </xf>
    <xf numFmtId="173" fontId="4" fillId="0" borderId="3" xfId="0" applyNumberFormat="1" applyFont="1" applyBorder="1" applyProtection="1">
      <protection hidden="1"/>
    </xf>
    <xf numFmtId="173" fontId="0" fillId="0" borderId="7" xfId="0" applyNumberFormat="1" applyBorder="1" applyProtection="1">
      <protection hidden="1"/>
    </xf>
    <xf numFmtId="4" fontId="1" fillId="0" borderId="0" xfId="4" applyNumberFormat="1" applyProtection="1">
      <protection hidden="1"/>
    </xf>
    <xf numFmtId="0" fontId="11" fillId="0" borderId="56" xfId="0" applyFont="1" applyBorder="1" applyAlignment="1" applyProtection="1">
      <alignment horizontal="center"/>
      <protection hidden="1"/>
    </xf>
    <xf numFmtId="173" fontId="0" fillId="0" borderId="56" xfId="0" applyNumberFormat="1" applyBorder="1" applyProtection="1">
      <protection hidden="1"/>
    </xf>
    <xf numFmtId="175" fontId="1" fillId="15" borderId="56" xfId="7" applyNumberFormat="1" applyFill="1" applyBorder="1" applyProtection="1">
      <protection hidden="1"/>
    </xf>
    <xf numFmtId="173" fontId="0" fillId="15" borderId="56" xfId="0" applyNumberFormat="1" applyFill="1" applyBorder="1" applyProtection="1">
      <protection hidden="1"/>
    </xf>
    <xf numFmtId="175" fontId="1" fillId="0" borderId="56" xfId="7" applyNumberFormat="1" applyBorder="1" applyProtection="1">
      <protection hidden="1"/>
    </xf>
    <xf numFmtId="173" fontId="1" fillId="0" borderId="56" xfId="7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173" fontId="0" fillId="0" borderId="0" xfId="0" applyNumberFormat="1" applyBorder="1" applyProtection="1">
      <protection hidden="1"/>
    </xf>
    <xf numFmtId="175" fontId="1" fillId="0" borderId="0" xfId="7" applyNumberFormat="1" applyBorder="1" applyProtection="1">
      <protection hidden="1"/>
    </xf>
    <xf numFmtId="173" fontId="1" fillId="0" borderId="0" xfId="7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173" fontId="1" fillId="0" borderId="46" xfId="7" applyBorder="1" applyProtection="1">
      <protection hidden="1"/>
    </xf>
    <xf numFmtId="173" fontId="0" fillId="0" borderId="46" xfId="0" applyNumberFormat="1" applyBorder="1" applyProtection="1">
      <protection hidden="1"/>
    </xf>
    <xf numFmtId="10" fontId="1" fillId="0" borderId="49" xfId="4" applyNumberFormat="1" applyBorder="1" applyProtection="1">
      <protection hidden="1"/>
    </xf>
    <xf numFmtId="10" fontId="5" fillId="0" borderId="57" xfId="4" applyNumberFormat="1" applyFont="1" applyBorder="1" applyAlignment="1" applyProtection="1">
      <protection hidden="1"/>
    </xf>
    <xf numFmtId="0" fontId="5" fillId="0" borderId="58" xfId="0" applyFont="1" applyBorder="1" applyAlignment="1" applyProtection="1">
      <protection hidden="1"/>
    </xf>
    <xf numFmtId="0" fontId="5" fillId="0" borderId="59" xfId="0" applyFont="1" applyBorder="1" applyAlignment="1" applyProtection="1">
      <protection hidden="1"/>
    </xf>
    <xf numFmtId="0" fontId="5" fillId="0" borderId="59" xfId="0" applyFont="1" applyBorder="1" applyAlignment="1" applyProtection="1">
      <alignment horizontal="center"/>
      <protection hidden="1"/>
    </xf>
    <xf numFmtId="173" fontId="5" fillId="0" borderId="57" xfId="0" applyNumberFormat="1" applyFont="1" applyBorder="1" applyAlignment="1" applyProtection="1">
      <protection hidden="1"/>
    </xf>
    <xf numFmtId="173" fontId="4" fillId="0" borderId="60" xfId="0" applyNumberFormat="1" applyFont="1" applyBorder="1" applyAlignment="1" applyProtection="1">
      <protection hidden="1"/>
    </xf>
    <xf numFmtId="10" fontId="4" fillId="0" borderId="61" xfId="4" applyNumberFormat="1" applyFont="1" applyBorder="1" applyProtection="1">
      <protection hidden="1"/>
    </xf>
    <xf numFmtId="0" fontId="0" fillId="0" borderId="0" xfId="0" applyFill="1" applyProtection="1">
      <protection hidden="1"/>
    </xf>
    <xf numFmtId="0" fontId="4" fillId="0" borderId="63" xfId="0" applyFont="1" applyBorder="1" applyAlignment="1">
      <alignment horizontal="center" vertical="center"/>
    </xf>
    <xf numFmtId="9" fontId="0" fillId="0" borderId="63" xfId="4" applyFont="1" applyBorder="1" applyAlignment="1">
      <alignment horizontal="center" vertical="center"/>
    </xf>
    <xf numFmtId="167" fontId="1" fillId="17" borderId="3" xfId="10" applyNumberFormat="1" applyFill="1" applyBorder="1" applyAlignment="1">
      <alignment horizontal="center" vertical="center"/>
    </xf>
    <xf numFmtId="167" fontId="1" fillId="16" borderId="3" xfId="10" applyNumberFormat="1" applyFont="1" applyFill="1" applyBorder="1" applyAlignment="1">
      <alignment horizontal="center" vertical="center"/>
    </xf>
    <xf numFmtId="167" fontId="1" fillId="17" borderId="3" xfId="10" applyNumberFormat="1" applyFont="1" applyFill="1" applyBorder="1" applyAlignment="1">
      <alignment horizontal="center" vertical="center"/>
    </xf>
    <xf numFmtId="0" fontId="1" fillId="16" borderId="12" xfId="10" applyNumberFormat="1" applyFont="1" applyFill="1" applyBorder="1" applyAlignment="1">
      <alignment horizontal="center" vertical="center" wrapText="1"/>
    </xf>
    <xf numFmtId="167" fontId="1" fillId="16" borderId="3" xfId="10" applyNumberFormat="1" applyFill="1" applyBorder="1" applyAlignment="1">
      <alignment horizontal="center" vertical="center"/>
    </xf>
    <xf numFmtId="168" fontId="1" fillId="0" borderId="3" xfId="11" applyNumberFormat="1" applyFont="1" applyFill="1" applyBorder="1" applyAlignment="1" applyProtection="1">
      <alignment vertical="center" wrapText="1"/>
    </xf>
    <xf numFmtId="10" fontId="2" fillId="0" borderId="3" xfId="5" applyNumberFormat="1" applyFont="1" applyFill="1" applyBorder="1" applyAlignment="1" applyProtection="1">
      <alignment vertical="center" wrapText="1"/>
    </xf>
    <xf numFmtId="0" fontId="1" fillId="22" borderId="3" xfId="0" applyFont="1" applyFill="1" applyBorder="1"/>
    <xf numFmtId="0" fontId="0" fillId="19" borderId="3" xfId="0" applyFill="1" applyBorder="1"/>
    <xf numFmtId="0" fontId="0" fillId="22" borderId="3" xfId="0" applyFill="1" applyBorder="1"/>
    <xf numFmtId="0" fontId="0" fillId="16" borderId="3" xfId="0" applyFill="1" applyBorder="1"/>
    <xf numFmtId="0" fontId="4" fillId="19" borderId="3" xfId="0" applyFont="1" applyFill="1" applyBorder="1" applyAlignment="1">
      <alignment horizontal="center"/>
    </xf>
    <xf numFmtId="0" fontId="1" fillId="0" borderId="0" xfId="0" applyFont="1" applyFill="1" applyBorder="1"/>
    <xf numFmtId="169" fontId="0" fillId="19" borderId="3" xfId="0" applyNumberFormat="1" applyFill="1" applyBorder="1"/>
    <xf numFmtId="169" fontId="1" fillId="16" borderId="3" xfId="0" applyNumberFormat="1" applyFont="1" applyFill="1" applyBorder="1"/>
    <xf numFmtId="169" fontId="1" fillId="22" borderId="3" xfId="0" applyNumberFormat="1" applyFont="1" applyFill="1" applyBorder="1"/>
    <xf numFmtId="0" fontId="4" fillId="22" borderId="3" xfId="0" applyFont="1" applyFill="1" applyBorder="1" applyAlignment="1">
      <alignment horizontal="center"/>
    </xf>
    <xf numFmtId="169" fontId="1" fillId="22" borderId="0" xfId="0" applyNumberFormat="1" applyFont="1" applyFill="1"/>
    <xf numFmtId="14" fontId="1" fillId="15" borderId="0" xfId="0" applyNumberFormat="1" applyFont="1" applyFill="1" applyBorder="1" applyAlignment="1" applyProtection="1">
      <alignment horizontal="center"/>
      <protection hidden="1"/>
    </xf>
    <xf numFmtId="0" fontId="4" fillId="23" borderId="63" xfId="0" applyFont="1" applyFill="1" applyBorder="1" applyAlignment="1">
      <alignment horizontal="center" vertical="center"/>
    </xf>
    <xf numFmtId="0" fontId="4" fillId="23" borderId="65" xfId="0" applyFont="1" applyFill="1" applyBorder="1" applyAlignment="1">
      <alignment horizontal="center" vertical="center"/>
    </xf>
    <xf numFmtId="0" fontId="4" fillId="23" borderId="38" xfId="0" applyFont="1" applyFill="1" applyBorder="1" applyAlignment="1">
      <alignment horizontal="center" vertical="center"/>
    </xf>
    <xf numFmtId="0" fontId="4" fillId="23" borderId="66" xfId="0" applyFont="1" applyFill="1" applyBorder="1" applyAlignment="1">
      <alignment horizontal="center" vertical="center"/>
    </xf>
    <xf numFmtId="4" fontId="4" fillId="23" borderId="66" xfId="2" applyNumberFormat="1" applyFont="1" applyFill="1" applyBorder="1" applyAlignment="1">
      <alignment horizontal="center" vertical="center"/>
    </xf>
    <xf numFmtId="166" fontId="4" fillId="23" borderId="66" xfId="2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29" borderId="3" xfId="0" applyFill="1" applyBorder="1"/>
    <xf numFmtId="166" fontId="0" fillId="0" borderId="0" xfId="2" applyFont="1" applyAlignment="1">
      <alignment vertical="center"/>
    </xf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0" fontId="1" fillId="0" borderId="0" xfId="0" applyFont="1" applyFill="1"/>
    <xf numFmtId="169" fontId="0" fillId="0" borderId="0" xfId="0" applyNumberFormat="1" applyFill="1" applyBorder="1"/>
    <xf numFmtId="0" fontId="0" fillId="0" borderId="0" xfId="0" applyFill="1" applyBorder="1"/>
    <xf numFmtId="14" fontId="0" fillId="0" borderId="0" xfId="0" applyNumberFormat="1" applyFill="1" applyBorder="1"/>
    <xf numFmtId="169" fontId="1" fillId="0" borderId="0" xfId="0" applyNumberFormat="1" applyFont="1" applyFill="1" applyBorder="1"/>
    <xf numFmtId="169" fontId="1" fillId="0" borderId="0" xfId="4" applyNumberFormat="1" applyFont="1" applyFill="1" applyBorder="1"/>
    <xf numFmtId="181" fontId="0" fillId="0" borderId="0" xfId="4" applyNumberFormat="1" applyFont="1" applyFill="1" applyBorder="1"/>
    <xf numFmtId="167" fontId="1" fillId="0" borderId="0" xfId="10" applyFont="1" applyAlignment="1" applyProtection="1">
      <alignment vertical="center" wrapText="1"/>
    </xf>
    <xf numFmtId="14" fontId="0" fillId="0" borderId="0" xfId="0" applyNumberFormat="1" applyFill="1"/>
    <xf numFmtId="4" fontId="0" fillId="0" borderId="0" xfId="0" applyNumberFormat="1" applyAlignment="1" applyProtection="1">
      <alignment vertical="center" wrapText="1"/>
    </xf>
    <xf numFmtId="0" fontId="1" fillId="0" borderId="3" xfId="0" applyFont="1" applyBorder="1" applyAlignment="1" applyProtection="1">
      <alignment vertical="center"/>
    </xf>
    <xf numFmtId="43" fontId="0" fillId="0" borderId="0" xfId="0" applyNumberFormat="1" applyAlignment="1" applyProtection="1">
      <alignment vertical="center" wrapText="1"/>
    </xf>
    <xf numFmtId="8" fontId="0" fillId="0" borderId="0" xfId="0" applyNumberFormat="1" applyAlignment="1" applyProtection="1">
      <alignment vertical="center"/>
    </xf>
    <xf numFmtId="0" fontId="4" fillId="23" borderId="0" xfId="0" applyFont="1" applyFill="1" applyBorder="1" applyAlignment="1">
      <alignment horizontal="center" vertical="center"/>
    </xf>
    <xf numFmtId="4" fontId="4" fillId="23" borderId="0" xfId="2" applyNumberFormat="1" applyFont="1" applyFill="1" applyBorder="1" applyAlignment="1">
      <alignment horizontal="center" vertical="center"/>
    </xf>
    <xf numFmtId="168" fontId="1" fillId="0" borderId="0" xfId="10" applyNumberFormat="1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21" borderId="0" xfId="0" applyFont="1" applyFill="1" applyBorder="1" applyAlignment="1" applyProtection="1">
      <alignment horizontal="center" vertical="center" wrapText="1"/>
    </xf>
    <xf numFmtId="168" fontId="4" fillId="21" borderId="0" xfId="11" applyNumberFormat="1" applyFont="1" applyFill="1" applyBorder="1" applyAlignment="1" applyProtection="1">
      <alignment vertical="center" wrapText="1"/>
    </xf>
    <xf numFmtId="10" fontId="6" fillId="21" borderId="0" xfId="5" applyNumberFormat="1" applyFont="1" applyFill="1" applyBorder="1" applyAlignment="1" applyProtection="1">
      <alignment vertical="center" wrapText="1"/>
    </xf>
    <xf numFmtId="14" fontId="1" fillId="22" borderId="49" xfId="4" applyNumberFormat="1" applyFont="1" applyFill="1" applyBorder="1" applyAlignment="1" applyProtection="1">
      <alignment horizontal="center"/>
      <protection hidden="1"/>
    </xf>
    <xf numFmtId="14" fontId="0" fillId="22" borderId="44" xfId="0" applyNumberFormat="1" applyFill="1" applyBorder="1" applyAlignment="1" applyProtection="1">
      <alignment horizontal="center"/>
      <protection hidden="1"/>
    </xf>
    <xf numFmtId="14" fontId="0" fillId="22" borderId="46" xfId="0" applyNumberFormat="1" applyFill="1" applyBorder="1" applyAlignment="1" applyProtection="1">
      <alignment horizontal="center"/>
      <protection hidden="1"/>
    </xf>
    <xf numFmtId="168" fontId="0" fillId="0" borderId="0" xfId="10" applyNumberFormat="1" applyFont="1" applyBorder="1" applyAlignment="1" applyProtection="1">
      <alignment vertical="center" wrapText="1"/>
    </xf>
    <xf numFmtId="168" fontId="4" fillId="0" borderId="0" xfId="10" applyNumberFormat="1" applyFont="1" applyBorder="1" applyAlignment="1" applyProtection="1">
      <alignment vertical="center" wrapText="1"/>
    </xf>
    <xf numFmtId="0" fontId="4" fillId="22" borderId="15" xfId="0" applyFont="1" applyFill="1" applyBorder="1" applyAlignment="1">
      <alignment horizontal="center" vertical="center"/>
    </xf>
    <xf numFmtId="168" fontId="1" fillId="0" borderId="3" xfId="10" applyNumberFormat="1" applyFont="1" applyBorder="1" applyAlignment="1" applyProtection="1">
      <alignment vertical="center" wrapText="1"/>
    </xf>
    <xf numFmtId="167" fontId="0" fillId="0" borderId="3" xfId="10" applyNumberFormat="1" applyFont="1" applyBorder="1" applyAlignment="1" applyProtection="1">
      <alignment vertical="center" wrapText="1"/>
    </xf>
    <xf numFmtId="0" fontId="1" fillId="4" borderId="3" xfId="0" applyFont="1" applyFill="1" applyBorder="1" applyAlignment="1">
      <alignment horizontal="left" vertical="center"/>
    </xf>
    <xf numFmtId="182" fontId="1" fillId="0" borderId="0" xfId="0" applyNumberFormat="1" applyFont="1" applyFill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0" fillId="22" borderId="0" xfId="0" applyFill="1"/>
    <xf numFmtId="0" fontId="33" fillId="2" borderId="0" xfId="0" applyFont="1" applyFill="1" applyAlignment="1" applyProtection="1">
      <alignment vertical="center"/>
    </xf>
    <xf numFmtId="0" fontId="36" fillId="23" borderId="0" xfId="0" applyFont="1" applyFill="1" applyBorder="1" applyAlignment="1" applyProtection="1">
      <alignment vertical="center"/>
    </xf>
    <xf numFmtId="0" fontId="38" fillId="2" borderId="0" xfId="0" applyFont="1" applyFill="1" applyAlignment="1" applyProtection="1">
      <alignment horizontal="left" vertical="center"/>
    </xf>
    <xf numFmtId="0" fontId="39" fillId="2" borderId="0" xfId="0" applyFont="1" applyFill="1" applyAlignment="1" applyProtection="1">
      <alignment vertical="center"/>
    </xf>
    <xf numFmtId="0" fontId="43" fillId="2" borderId="0" xfId="0" applyFont="1" applyFill="1" applyBorder="1" applyAlignment="1" applyProtection="1">
      <alignment vertical="center"/>
    </xf>
    <xf numFmtId="0" fontId="46" fillId="3" borderId="0" xfId="0" applyFont="1" applyFill="1" applyBorder="1" applyAlignment="1" applyProtection="1">
      <alignment vertical="center"/>
    </xf>
    <xf numFmtId="0" fontId="33" fillId="2" borderId="3" xfId="0" applyFont="1" applyFill="1" applyBorder="1" applyAlignment="1" applyProtection="1">
      <alignment vertical="center"/>
    </xf>
    <xf numFmtId="167" fontId="33" fillId="2" borderId="3" xfId="10" applyNumberFormat="1" applyFont="1" applyFill="1" applyBorder="1" applyAlignment="1" applyProtection="1">
      <alignment horizontal="center" vertical="center"/>
    </xf>
    <xf numFmtId="0" fontId="35" fillId="3" borderId="0" xfId="0" applyFont="1" applyFill="1" applyBorder="1" applyAlignment="1" applyProtection="1">
      <alignment horizontal="right" vertical="center"/>
    </xf>
    <xf numFmtId="0" fontId="33" fillId="3" borderId="0" xfId="0" applyFont="1" applyFill="1" applyBorder="1" applyAlignment="1" applyProtection="1">
      <alignment vertical="center"/>
    </xf>
    <xf numFmtId="0" fontId="33" fillId="3" borderId="0" xfId="0" applyFont="1" applyFill="1" applyBorder="1" applyAlignment="1" applyProtection="1">
      <alignment horizontal="right" vertical="center"/>
    </xf>
    <xf numFmtId="0" fontId="53" fillId="2" borderId="0" xfId="0" applyFont="1" applyFill="1" applyAlignment="1" applyProtection="1">
      <alignment vertical="center"/>
    </xf>
    <xf numFmtId="0" fontId="33" fillId="0" borderId="0" xfId="0" applyFont="1" applyFill="1" applyAlignment="1" applyProtection="1">
      <alignment vertical="center"/>
    </xf>
    <xf numFmtId="0" fontId="33" fillId="0" borderId="3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vertical="center"/>
    </xf>
    <xf numFmtId="0" fontId="38" fillId="0" borderId="0" xfId="0" applyFont="1" applyFill="1" applyAlignment="1" applyProtection="1">
      <alignment horizontal="left" vertical="center"/>
    </xf>
    <xf numFmtId="0" fontId="38" fillId="0" borderId="0" xfId="0" applyFont="1" applyFill="1" applyAlignment="1" applyProtection="1">
      <alignment vertical="center"/>
    </xf>
    <xf numFmtId="0" fontId="33" fillId="2" borderId="0" xfId="0" applyFont="1" applyFill="1" applyBorder="1" applyAlignment="1" applyProtection="1">
      <alignment vertical="center"/>
    </xf>
    <xf numFmtId="0" fontId="38" fillId="2" borderId="0" xfId="0" applyFont="1" applyFill="1" applyAlignment="1" applyProtection="1">
      <alignment vertical="center"/>
    </xf>
    <xf numFmtId="0" fontId="60" fillId="2" borderId="0" xfId="0" applyFont="1" applyFill="1" applyAlignment="1" applyProtection="1">
      <alignment vertical="center"/>
    </xf>
    <xf numFmtId="0" fontId="33" fillId="2" borderId="11" xfId="0" applyFont="1" applyFill="1" applyBorder="1" applyAlignment="1" applyProtection="1">
      <alignment horizontal="center" vertical="center"/>
    </xf>
    <xf numFmtId="0" fontId="33" fillId="2" borderId="12" xfId="0" applyFont="1" applyFill="1" applyBorder="1" applyAlignment="1" applyProtection="1">
      <alignment horizontal="center" vertical="center"/>
    </xf>
    <xf numFmtId="0" fontId="48" fillId="2" borderId="0" xfId="0" applyFont="1" applyFill="1" applyBorder="1" applyAlignment="1" applyProtection="1">
      <alignment vertical="center"/>
    </xf>
    <xf numFmtId="43" fontId="33" fillId="2" borderId="0" xfId="0" applyNumberFormat="1" applyFont="1" applyFill="1" applyAlignment="1" applyProtection="1">
      <alignment vertical="center"/>
    </xf>
    <xf numFmtId="166" fontId="38" fillId="2" borderId="0" xfId="2" applyFont="1" applyFill="1" applyAlignment="1" applyProtection="1">
      <alignment vertical="center"/>
    </xf>
    <xf numFmtId="2" fontId="38" fillId="2" borderId="0" xfId="0" applyNumberFormat="1" applyFont="1" applyFill="1" applyAlignment="1" applyProtection="1">
      <alignment vertical="center"/>
    </xf>
    <xf numFmtId="0" fontId="61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2" fontId="33" fillId="2" borderId="0" xfId="0" applyNumberFormat="1" applyFont="1" applyFill="1" applyAlignment="1" applyProtection="1">
      <alignment vertical="center"/>
    </xf>
    <xf numFmtId="0" fontId="33" fillId="0" borderId="0" xfId="0" applyFont="1" applyProtection="1"/>
    <xf numFmtId="0" fontId="33" fillId="2" borderId="20" xfId="0" applyFont="1" applyFill="1" applyBorder="1" applyAlignment="1" applyProtection="1">
      <alignment vertical="center"/>
    </xf>
    <xf numFmtId="43" fontId="33" fillId="2" borderId="20" xfId="0" applyNumberFormat="1" applyFont="1" applyFill="1" applyBorder="1" applyAlignment="1" applyProtection="1">
      <alignment vertical="center"/>
    </xf>
    <xf numFmtId="0" fontId="33" fillId="2" borderId="21" xfId="0" applyFont="1" applyFill="1" applyBorder="1" applyAlignment="1" applyProtection="1">
      <alignment vertical="center"/>
    </xf>
    <xf numFmtId="4" fontId="33" fillId="2" borderId="0" xfId="0" applyNumberFormat="1" applyFont="1" applyFill="1" applyBorder="1" applyAlignment="1" applyProtection="1">
      <alignment vertical="center"/>
    </xf>
    <xf numFmtId="0" fontId="33" fillId="2" borderId="22" xfId="0" applyFont="1" applyFill="1" applyBorder="1" applyAlignment="1" applyProtection="1">
      <alignment vertical="center"/>
    </xf>
    <xf numFmtId="43" fontId="33" fillId="2" borderId="0" xfId="0" applyNumberFormat="1" applyFont="1" applyFill="1" applyBorder="1" applyAlignment="1" applyProtection="1">
      <alignment vertical="center"/>
    </xf>
    <xf numFmtId="166" fontId="43" fillId="13" borderId="23" xfId="2" applyFont="1" applyFill="1" applyBorder="1" applyAlignment="1" applyProtection="1">
      <alignment horizontal="center" vertical="center"/>
    </xf>
    <xf numFmtId="166" fontId="43" fillId="13" borderId="0" xfId="2" applyFont="1" applyFill="1" applyBorder="1" applyAlignment="1" applyProtection="1">
      <alignment horizontal="center" vertical="center"/>
    </xf>
    <xf numFmtId="166" fontId="43" fillId="13" borderId="22" xfId="2" applyFont="1" applyFill="1" applyBorder="1" applyAlignment="1" applyProtection="1">
      <alignment horizontal="center" vertical="center"/>
    </xf>
    <xf numFmtId="17" fontId="43" fillId="2" borderId="0" xfId="0" applyNumberFormat="1" applyFont="1" applyFill="1" applyBorder="1" applyAlignment="1" applyProtection="1">
      <alignment horizontal="center" vertical="center"/>
    </xf>
    <xf numFmtId="167" fontId="43" fillId="2" borderId="0" xfId="10" applyFont="1" applyFill="1" applyBorder="1" applyAlignment="1" applyProtection="1">
      <alignment horizontal="center" vertical="center"/>
    </xf>
    <xf numFmtId="167" fontId="33" fillId="2" borderId="0" xfId="0" applyNumberFormat="1" applyFont="1" applyFill="1" applyBorder="1" applyAlignment="1" applyProtection="1">
      <alignment vertical="center"/>
    </xf>
    <xf numFmtId="167" fontId="43" fillId="2" borderId="22" xfId="10" applyFont="1" applyFill="1" applyBorder="1" applyAlignment="1" applyProtection="1">
      <alignment horizontal="center" vertical="center"/>
    </xf>
    <xf numFmtId="0" fontId="43" fillId="2" borderId="0" xfId="0" applyFont="1" applyFill="1" applyBorder="1" applyAlignment="1" applyProtection="1">
      <alignment horizontal="center" vertical="center"/>
    </xf>
    <xf numFmtId="0" fontId="33" fillId="2" borderId="23" xfId="0" applyFont="1" applyFill="1" applyBorder="1" applyAlignment="1" applyProtection="1">
      <alignment vertical="center"/>
    </xf>
    <xf numFmtId="167" fontId="43" fillId="2" borderId="23" xfId="10" applyFont="1" applyFill="1" applyBorder="1" applyAlignment="1" applyProtection="1">
      <alignment horizontal="center" vertical="center"/>
    </xf>
    <xf numFmtId="166" fontId="33" fillId="2" borderId="23" xfId="0" applyNumberFormat="1" applyFont="1" applyFill="1" applyBorder="1" applyAlignment="1" applyProtection="1">
      <alignment vertical="center"/>
    </xf>
    <xf numFmtId="0" fontId="59" fillId="2" borderId="0" xfId="0" applyFont="1" applyFill="1" applyBorder="1" applyAlignment="1" applyProtection="1">
      <alignment vertical="center"/>
    </xf>
    <xf numFmtId="0" fontId="59" fillId="2" borderId="0" xfId="0" applyFont="1" applyFill="1" applyBorder="1" applyAlignment="1" applyProtection="1">
      <alignment vertical="center" wrapText="1"/>
    </xf>
    <xf numFmtId="0" fontId="59" fillId="2" borderId="23" xfId="0" applyFont="1" applyFill="1" applyBorder="1" applyAlignment="1" applyProtection="1">
      <alignment vertical="center" wrapText="1"/>
    </xf>
    <xf numFmtId="0" fontId="59" fillId="2" borderId="22" xfId="0" applyFont="1" applyFill="1" applyBorder="1" applyAlignment="1" applyProtection="1">
      <alignment vertical="center" wrapText="1"/>
    </xf>
    <xf numFmtId="0" fontId="33" fillId="2" borderId="24" xfId="0" applyFont="1" applyFill="1" applyBorder="1" applyAlignment="1" applyProtection="1">
      <alignment vertical="center"/>
    </xf>
    <xf numFmtId="0" fontId="33" fillId="2" borderId="25" xfId="0" applyFont="1" applyFill="1" applyBorder="1" applyAlignment="1" applyProtection="1">
      <alignment vertical="center"/>
    </xf>
    <xf numFmtId="0" fontId="43" fillId="2" borderId="0" xfId="0" applyNumberFormat="1" applyFont="1" applyFill="1" applyBorder="1" applyAlignment="1" applyProtection="1">
      <alignment vertical="center"/>
    </xf>
    <xf numFmtId="0" fontId="33" fillId="2" borderId="0" xfId="0" applyFont="1" applyFill="1" applyBorder="1" applyAlignment="1" applyProtection="1">
      <alignment wrapText="1"/>
    </xf>
    <xf numFmtId="0" fontId="33" fillId="2" borderId="0" xfId="0" applyFont="1" applyFill="1" applyAlignment="1" applyProtection="1">
      <alignment horizontal="left" vertical="center"/>
    </xf>
    <xf numFmtId="0" fontId="47" fillId="2" borderId="26" xfId="0" applyFont="1" applyFill="1" applyBorder="1" applyAlignment="1" applyProtection="1">
      <alignment vertical="center"/>
    </xf>
    <xf numFmtId="0" fontId="47" fillId="2" borderId="21" xfId="0" applyFont="1" applyFill="1" applyBorder="1" applyAlignment="1" applyProtection="1">
      <alignment vertical="center"/>
    </xf>
    <xf numFmtId="10" fontId="77" fillId="2" borderId="17" xfId="4" applyNumberFormat="1" applyFont="1" applyFill="1" applyBorder="1" applyAlignment="1" applyProtection="1">
      <alignment vertical="center"/>
    </xf>
    <xf numFmtId="0" fontId="77" fillId="2" borderId="25" xfId="0" applyFont="1" applyFill="1" applyBorder="1" applyAlignment="1" applyProtection="1">
      <alignment vertical="center"/>
    </xf>
    <xf numFmtId="0" fontId="39" fillId="2" borderId="0" xfId="0" applyFont="1" applyFill="1" applyBorder="1" applyAlignment="1" applyProtection="1">
      <alignment vertical="center"/>
    </xf>
    <xf numFmtId="0" fontId="39" fillId="2" borderId="0" xfId="0" applyFont="1" applyFill="1" applyAlignment="1" applyProtection="1">
      <alignment horizontal="left" vertical="center"/>
    </xf>
    <xf numFmtId="0" fontId="80" fillId="2" borderId="0" xfId="0" applyFont="1" applyFill="1" applyAlignment="1" applyProtection="1">
      <alignment vertical="center"/>
    </xf>
    <xf numFmtId="0" fontId="79" fillId="0" borderId="0" xfId="0" applyFont="1" applyFill="1" applyBorder="1" applyAlignment="1" applyProtection="1">
      <alignment horizontal="center" vertical="center" wrapText="1"/>
    </xf>
    <xf numFmtId="0" fontId="80" fillId="0" borderId="0" xfId="0" applyFont="1" applyFill="1" applyAlignment="1" applyProtection="1">
      <alignment vertical="center"/>
    </xf>
    <xf numFmtId="0" fontId="76" fillId="2" borderId="0" xfId="0" applyFont="1" applyFill="1" applyBorder="1" applyAlignment="1" applyProtection="1">
      <alignment horizontal="center" vertical="center"/>
    </xf>
    <xf numFmtId="167" fontId="76" fillId="2" borderId="0" xfId="10" applyFont="1" applyFill="1" applyBorder="1" applyAlignment="1" applyProtection="1">
      <alignment horizontal="center" vertical="center"/>
    </xf>
    <xf numFmtId="0" fontId="39" fillId="2" borderId="0" xfId="0" applyFont="1" applyFill="1" applyBorder="1" applyAlignment="1" applyProtection="1">
      <alignment wrapText="1"/>
    </xf>
    <xf numFmtId="0" fontId="68" fillId="2" borderId="0" xfId="0" applyFont="1" applyFill="1" applyBorder="1" applyAlignment="1" applyProtection="1">
      <alignment vertical="center" wrapText="1"/>
    </xf>
    <xf numFmtId="0" fontId="78" fillId="2" borderId="0" xfId="0" applyFont="1" applyFill="1" applyBorder="1" applyAlignment="1" applyProtection="1">
      <alignment horizontal="center" vertical="center"/>
    </xf>
    <xf numFmtId="167" fontId="78" fillId="2" borderId="0" xfId="10" applyFont="1" applyFill="1" applyBorder="1" applyAlignment="1" applyProtection="1">
      <alignment horizontal="center" vertical="center"/>
    </xf>
    <xf numFmtId="0" fontId="72" fillId="2" borderId="0" xfId="0" applyFont="1" applyFill="1" applyAlignment="1" applyProtection="1">
      <alignment vertical="center"/>
    </xf>
    <xf numFmtId="1" fontId="39" fillId="2" borderId="0" xfId="0" applyNumberFormat="1" applyFont="1" applyFill="1" applyAlignment="1" applyProtection="1">
      <alignment vertical="center"/>
    </xf>
    <xf numFmtId="0" fontId="81" fillId="2" borderId="0" xfId="0" applyFont="1" applyFill="1" applyAlignment="1" applyProtection="1">
      <alignment vertical="center"/>
    </xf>
    <xf numFmtId="43" fontId="33" fillId="2" borderId="3" xfId="0" applyNumberFormat="1" applyFont="1" applyFill="1" applyBorder="1" applyAlignment="1" applyProtection="1">
      <alignment vertical="center"/>
    </xf>
    <xf numFmtId="1" fontId="33" fillId="2" borderId="0" xfId="0" applyNumberFormat="1" applyFont="1" applyFill="1" applyAlignment="1" applyProtection="1">
      <alignment vertical="center"/>
    </xf>
    <xf numFmtId="0" fontId="72" fillId="2" borderId="0" xfId="0" applyFont="1" applyFill="1" applyBorder="1" applyAlignment="1" applyProtection="1">
      <alignment vertical="center"/>
    </xf>
    <xf numFmtId="166" fontId="50" fillId="2" borderId="0" xfId="2" applyNumberFormat="1" applyFont="1" applyFill="1" applyAlignment="1" applyProtection="1">
      <alignment vertical="center"/>
    </xf>
    <xf numFmtId="166" fontId="50" fillId="2" borderId="0" xfId="0" applyNumberFormat="1" applyFont="1" applyFill="1" applyAlignment="1" applyProtection="1">
      <alignment vertical="center"/>
    </xf>
    <xf numFmtId="176" fontId="33" fillId="2" borderId="0" xfId="0" applyNumberFormat="1" applyFont="1" applyFill="1" applyAlignment="1" applyProtection="1">
      <alignment vertical="center"/>
    </xf>
    <xf numFmtId="0" fontId="72" fillId="2" borderId="3" xfId="0" applyFont="1" applyFill="1" applyBorder="1" applyAlignment="1" applyProtection="1">
      <alignment horizontal="center" vertical="center"/>
    </xf>
    <xf numFmtId="0" fontId="33" fillId="4" borderId="0" xfId="0" applyFont="1" applyFill="1" applyAlignment="1" applyProtection="1">
      <alignment vertical="center"/>
    </xf>
    <xf numFmtId="0" fontId="38" fillId="4" borderId="0" xfId="0" applyFont="1" applyFill="1" applyAlignment="1" applyProtection="1">
      <alignment horizontal="left" vertical="center"/>
    </xf>
    <xf numFmtId="0" fontId="60" fillId="2" borderId="0" xfId="0" applyFont="1" applyFill="1" applyBorder="1" applyAlignment="1" applyProtection="1">
      <alignment vertical="center"/>
    </xf>
    <xf numFmtId="167" fontId="60" fillId="2" borderId="0" xfId="10" applyFont="1" applyFill="1" applyBorder="1" applyAlignment="1" applyProtection="1">
      <alignment vertical="center"/>
    </xf>
    <xf numFmtId="0" fontId="56" fillId="2" borderId="0" xfId="0" applyFont="1" applyFill="1" applyBorder="1" applyAlignment="1" applyProtection="1">
      <alignment vertical="center"/>
    </xf>
    <xf numFmtId="0" fontId="60" fillId="0" borderId="0" xfId="0" applyFont="1" applyFill="1" applyAlignment="1" applyProtection="1">
      <alignment vertical="center"/>
    </xf>
    <xf numFmtId="0" fontId="48" fillId="2" borderId="0" xfId="0" applyFont="1" applyFill="1" applyBorder="1" applyAlignment="1" applyProtection="1">
      <alignment horizontal="right" vertical="center"/>
    </xf>
    <xf numFmtId="166" fontId="56" fillId="0" borderId="0" xfId="0" applyNumberFormat="1" applyFont="1" applyFill="1" applyBorder="1" applyAlignment="1" applyProtection="1">
      <alignment vertical="center"/>
    </xf>
    <xf numFmtId="0" fontId="48" fillId="2" borderId="0" xfId="0" applyFont="1" applyFill="1" applyBorder="1" applyAlignment="1" applyProtection="1">
      <alignment horizontal="right" vertical="center" wrapText="1"/>
    </xf>
    <xf numFmtId="0" fontId="48" fillId="2" borderId="105" xfId="0" applyFont="1" applyFill="1" applyBorder="1" applyAlignment="1" applyProtection="1">
      <alignment horizontal="right" vertical="center"/>
    </xf>
    <xf numFmtId="0" fontId="48" fillId="2" borderId="99" xfId="0" applyFont="1" applyFill="1" applyBorder="1" applyAlignment="1" applyProtection="1">
      <alignment horizontal="right" vertical="center"/>
    </xf>
    <xf numFmtId="0" fontId="48" fillId="2" borderId="104" xfId="0" applyFont="1" applyFill="1" applyBorder="1" applyAlignment="1" applyProtection="1">
      <alignment horizontal="right" vertical="center"/>
    </xf>
    <xf numFmtId="0" fontId="45" fillId="0" borderId="0" xfId="0" applyFont="1" applyFill="1" applyBorder="1" applyAlignment="1" applyProtection="1">
      <alignment vertical="center"/>
    </xf>
    <xf numFmtId="0" fontId="42" fillId="20" borderId="0" xfId="0" applyFont="1" applyFill="1" applyBorder="1" applyAlignment="1" applyProtection="1">
      <alignment vertical="center"/>
    </xf>
    <xf numFmtId="17" fontId="72" fillId="2" borderId="4" xfId="0" applyNumberFormat="1" applyFont="1" applyFill="1" applyBorder="1" applyAlignment="1" applyProtection="1">
      <alignment horizontal="center" vertical="center"/>
    </xf>
    <xf numFmtId="10" fontId="37" fillId="34" borderId="67" xfId="0" applyNumberFormat="1" applyFont="1" applyFill="1" applyBorder="1" applyAlignment="1" applyProtection="1">
      <alignment vertical="center"/>
    </xf>
    <xf numFmtId="10" fontId="37" fillId="34" borderId="68" xfId="0" applyNumberFormat="1" applyFont="1" applyFill="1" applyBorder="1" applyAlignment="1" applyProtection="1">
      <alignment horizontal="left" vertical="center"/>
    </xf>
    <xf numFmtId="167" fontId="85" fillId="2" borderId="0" xfId="10" applyFont="1" applyFill="1" applyBorder="1" applyAlignment="1" applyProtection="1">
      <alignment horizontal="center" vertical="center" wrapText="1"/>
    </xf>
    <xf numFmtId="167" fontId="85" fillId="0" borderId="0" xfId="10" applyFont="1" applyFill="1" applyBorder="1" applyAlignment="1" applyProtection="1">
      <alignment horizontal="center" vertical="center" wrapText="1"/>
    </xf>
    <xf numFmtId="167" fontId="85" fillId="2" borderId="0" xfId="10" applyFont="1" applyFill="1" applyBorder="1" applyAlignment="1" applyProtection="1">
      <alignment horizontal="center" vertical="center"/>
    </xf>
    <xf numFmtId="17" fontId="32" fillId="13" borderId="1" xfId="0" applyNumberFormat="1" applyFont="1" applyFill="1" applyBorder="1" applyAlignment="1" applyProtection="1">
      <alignment horizontal="center" vertical="center"/>
    </xf>
    <xf numFmtId="0" fontId="66" fillId="0" borderId="0" xfId="0" applyFont="1" applyFill="1" applyBorder="1" applyAlignment="1" applyProtection="1">
      <alignment horizontal="center" vertical="center"/>
    </xf>
    <xf numFmtId="166" fontId="66" fillId="0" borderId="0" xfId="2" applyFont="1" applyFill="1" applyBorder="1" applyAlignment="1" applyProtection="1">
      <alignment horizontal="center" vertical="center"/>
    </xf>
    <xf numFmtId="167" fontId="66" fillId="2" borderId="70" xfId="10" applyFont="1" applyFill="1" applyBorder="1" applyAlignment="1" applyProtection="1">
      <alignment horizontal="center" vertical="center"/>
    </xf>
    <xf numFmtId="167" fontId="66" fillId="2" borderId="73" xfId="10" applyFont="1" applyFill="1" applyBorder="1" applyAlignment="1" applyProtection="1">
      <alignment horizontal="center" vertical="center"/>
    </xf>
    <xf numFmtId="0" fontId="48" fillId="2" borderId="0" xfId="0" applyFont="1" applyFill="1" applyBorder="1" applyAlignment="1" applyProtection="1">
      <alignment vertical="center" wrapText="1"/>
    </xf>
    <xf numFmtId="0" fontId="54" fillId="2" borderId="0" xfId="0" applyFont="1" applyFill="1" applyAlignment="1" applyProtection="1">
      <alignment vertical="center"/>
    </xf>
    <xf numFmtId="43" fontId="54" fillId="2" borderId="0" xfId="0" applyNumberFormat="1" applyFont="1" applyFill="1" applyBorder="1" applyAlignment="1" applyProtection="1">
      <alignment vertical="center"/>
    </xf>
    <xf numFmtId="168" fontId="1" fillId="5" borderId="15" xfId="10" applyNumberFormat="1" applyFont="1" applyFill="1" applyBorder="1" applyAlignment="1" applyProtection="1">
      <alignment vertical="center" wrapText="1"/>
    </xf>
    <xf numFmtId="166" fontId="0" fillId="0" borderId="100" xfId="2" applyFont="1" applyBorder="1" applyAlignment="1" applyProtection="1">
      <alignment vertical="center" wrapText="1"/>
    </xf>
    <xf numFmtId="0" fontId="39" fillId="2" borderId="0" xfId="0" applyNumberFormat="1" applyFont="1" applyFill="1" applyBorder="1" applyAlignment="1" applyProtection="1">
      <alignment vertical="center"/>
    </xf>
    <xf numFmtId="166" fontId="39" fillId="2" borderId="0" xfId="0" applyNumberFormat="1" applyFont="1" applyFill="1" applyBorder="1" applyAlignment="1" applyProtection="1">
      <alignment horizontal="center" vertical="center"/>
    </xf>
    <xf numFmtId="0" fontId="66" fillId="0" borderId="0" xfId="0" applyFont="1" applyFill="1" applyBorder="1" applyAlignment="1" applyProtection="1">
      <alignment vertical="center"/>
    </xf>
    <xf numFmtId="166" fontId="66" fillId="0" borderId="70" xfId="2" applyFont="1" applyFill="1" applyBorder="1" applyAlignment="1" applyProtection="1">
      <alignment horizontal="center" vertical="center"/>
    </xf>
    <xf numFmtId="0" fontId="1" fillId="22" borderId="0" xfId="0" applyFont="1" applyFill="1"/>
    <xf numFmtId="17" fontId="0" fillId="22" borderId="0" xfId="0" applyNumberFormat="1" applyFill="1"/>
    <xf numFmtId="14" fontId="0" fillId="22" borderId="0" xfId="0" applyNumberFormat="1" applyFill="1"/>
    <xf numFmtId="0" fontId="0" fillId="22" borderId="0" xfId="0" applyFill="1" applyBorder="1"/>
    <xf numFmtId="0" fontId="70" fillId="20" borderId="0" xfId="0" applyFont="1" applyFill="1" applyBorder="1" applyAlignment="1" applyProtection="1">
      <alignment vertical="center"/>
    </xf>
    <xf numFmtId="0" fontId="63" fillId="20" borderId="0" xfId="0" applyFont="1" applyFill="1" applyBorder="1" applyAlignment="1" applyProtection="1">
      <alignment vertical="center"/>
    </xf>
    <xf numFmtId="0" fontId="66" fillId="2" borderId="0" xfId="0" applyNumberFormat="1" applyFont="1" applyFill="1" applyBorder="1" applyAlignment="1" applyProtection="1">
      <alignment vertical="center"/>
    </xf>
    <xf numFmtId="17" fontId="66" fillId="2" borderId="0" xfId="0" applyNumberFormat="1" applyFont="1" applyFill="1" applyBorder="1" applyAlignment="1" applyProtection="1">
      <alignment horizontal="center" vertical="center"/>
    </xf>
    <xf numFmtId="0" fontId="54" fillId="0" borderId="112" xfId="0" applyFont="1" applyFill="1" applyBorder="1" applyAlignment="1" applyProtection="1">
      <alignment vertical="center"/>
    </xf>
    <xf numFmtId="0" fontId="30" fillId="0" borderId="0" xfId="0" applyFont="1" applyAlignment="1" applyProtection="1">
      <alignment vertical="center" wrapText="1"/>
    </xf>
    <xf numFmtId="168" fontId="30" fillId="0" borderId="0" xfId="0" applyNumberFormat="1" applyFont="1" applyAlignment="1" applyProtection="1">
      <alignment vertical="center" wrapText="1"/>
    </xf>
    <xf numFmtId="43" fontId="31" fillId="0" borderId="0" xfId="0" applyNumberFormat="1" applyFont="1" applyFill="1" applyBorder="1" applyAlignment="1" applyProtection="1">
      <alignment vertical="center" wrapText="1"/>
    </xf>
    <xf numFmtId="0" fontId="31" fillId="0" borderId="0" xfId="0" applyFont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wrapText="1"/>
    </xf>
    <xf numFmtId="0" fontId="87" fillId="0" borderId="0" xfId="0" applyFont="1" applyFill="1" applyBorder="1" applyAlignment="1" applyProtection="1">
      <alignment vertical="center"/>
    </xf>
    <xf numFmtId="1" fontId="87" fillId="0" borderId="0" xfId="10" applyNumberFormat="1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4" fontId="30" fillId="0" borderId="0" xfId="2" applyNumberFormat="1" applyFont="1" applyFill="1" applyBorder="1" applyAlignment="1" applyProtection="1">
      <alignment vertical="center" wrapText="1"/>
    </xf>
    <xf numFmtId="17" fontId="66" fillId="0" borderId="0" xfId="0" applyNumberFormat="1" applyFont="1" applyFill="1" applyBorder="1" applyAlignment="1" applyProtection="1">
      <alignment horizontal="center" vertical="center"/>
    </xf>
    <xf numFmtId="0" fontId="85" fillId="2" borderId="0" xfId="0" applyFont="1" applyFill="1" applyBorder="1" applyAlignment="1" applyProtection="1">
      <alignment horizontal="center" vertical="center" wrapText="1"/>
    </xf>
    <xf numFmtId="17" fontId="66" fillId="13" borderId="67" xfId="0" applyNumberFormat="1" applyFont="1" applyFill="1" applyBorder="1" applyAlignment="1" applyProtection="1">
      <alignment horizontal="center" vertical="center"/>
    </xf>
    <xf numFmtId="17" fontId="48" fillId="2" borderId="0" xfId="0" applyNumberFormat="1" applyFont="1" applyFill="1" applyBorder="1" applyAlignment="1" applyProtection="1">
      <alignment vertical="center"/>
    </xf>
    <xf numFmtId="0" fontId="74" fillId="20" borderId="0" xfId="0" applyFont="1" applyFill="1" applyBorder="1" applyAlignment="1" applyProtection="1">
      <alignment vertical="center" wrapText="1"/>
    </xf>
    <xf numFmtId="0" fontId="46" fillId="2" borderId="0" xfId="0" applyFont="1" applyFill="1" applyBorder="1" applyAlignment="1" applyProtection="1">
      <alignment vertical="center"/>
    </xf>
    <xf numFmtId="179" fontId="33" fillId="2" borderId="0" xfId="0" applyNumberFormat="1" applyFont="1" applyFill="1" applyBorder="1" applyAlignment="1" applyProtection="1">
      <alignment horizontal="center" vertical="center"/>
    </xf>
    <xf numFmtId="179" fontId="33" fillId="0" borderId="0" xfId="0" applyNumberFormat="1" applyFont="1" applyFill="1" applyBorder="1" applyAlignment="1" applyProtection="1">
      <alignment horizontal="center" vertical="center"/>
    </xf>
    <xf numFmtId="179" fontId="33" fillId="2" borderId="0" xfId="4" applyNumberFormat="1" applyFont="1" applyFill="1" applyBorder="1" applyAlignment="1" applyProtection="1">
      <alignment horizontal="center" vertical="center"/>
    </xf>
    <xf numFmtId="0" fontId="33" fillId="2" borderId="113" xfId="0" applyFont="1" applyFill="1" applyBorder="1" applyAlignment="1" applyProtection="1">
      <alignment vertical="center"/>
    </xf>
    <xf numFmtId="0" fontId="52" fillId="34" borderId="104" xfId="0" applyFont="1" applyFill="1" applyBorder="1" applyAlignment="1" applyProtection="1">
      <alignment horizontal="right" vertical="center"/>
    </xf>
    <xf numFmtId="14" fontId="15" fillId="8" borderId="0" xfId="0" applyNumberFormat="1" applyFont="1" applyFill="1" applyAlignment="1" applyProtection="1">
      <alignment vertical="center"/>
    </xf>
    <xf numFmtId="2" fontId="15" fillId="8" borderId="0" xfId="0" applyNumberFormat="1" applyFont="1" applyFill="1" applyAlignment="1" applyProtection="1">
      <alignment vertical="center"/>
    </xf>
    <xf numFmtId="0" fontId="4" fillId="0" borderId="3" xfId="0" applyFont="1" applyBorder="1" applyAlignment="1" applyProtection="1">
      <alignment vertical="center" wrapText="1"/>
    </xf>
    <xf numFmtId="0" fontId="88" fillId="35" borderId="4" xfId="0" applyFont="1" applyFill="1" applyBorder="1" applyAlignment="1" applyProtection="1">
      <alignment vertical="center"/>
    </xf>
    <xf numFmtId="1" fontId="88" fillId="35" borderId="4" xfId="10" applyNumberFormat="1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33" fillId="2" borderId="3" xfId="0" applyFont="1" applyFill="1" applyBorder="1" applyAlignment="1" applyProtection="1">
      <alignment horizontal="left" vertical="center"/>
    </xf>
    <xf numFmtId="0" fontId="15" fillId="8" borderId="0" xfId="0" applyFont="1" applyFill="1" applyAlignment="1" applyProtection="1">
      <alignment horizontal="center" vertical="center"/>
    </xf>
    <xf numFmtId="168" fontId="90" fillId="20" borderId="0" xfId="10" applyNumberFormat="1" applyFont="1" applyFill="1" applyAlignment="1" applyProtection="1">
      <alignment vertical="center"/>
    </xf>
    <xf numFmtId="0" fontId="33" fillId="2" borderId="114" xfId="0" applyFont="1" applyFill="1" applyBorder="1" applyAlignment="1" applyProtection="1">
      <alignment vertical="center"/>
    </xf>
    <xf numFmtId="0" fontId="33" fillId="2" borderId="115" xfId="0" applyFont="1" applyFill="1" applyBorder="1" applyAlignment="1" applyProtection="1">
      <alignment vertical="center"/>
    </xf>
    <xf numFmtId="0" fontId="39" fillId="2" borderId="115" xfId="0" applyFont="1" applyFill="1" applyBorder="1" applyAlignment="1" applyProtection="1">
      <alignment vertical="center"/>
    </xf>
    <xf numFmtId="0" fontId="33" fillId="0" borderId="115" xfId="0" applyFont="1" applyFill="1" applyBorder="1" applyAlignment="1" applyProtection="1">
      <alignment vertical="center"/>
    </xf>
    <xf numFmtId="0" fontId="33" fillId="2" borderId="116" xfId="0" applyFont="1" applyFill="1" applyBorder="1" applyAlignment="1" applyProtection="1">
      <alignment vertical="center"/>
    </xf>
    <xf numFmtId="0" fontId="33" fillId="2" borderId="117" xfId="0" applyFont="1" applyFill="1" applyBorder="1" applyAlignment="1" applyProtection="1">
      <alignment vertical="center"/>
    </xf>
    <xf numFmtId="0" fontId="33" fillId="2" borderId="118" xfId="0" applyFont="1" applyFill="1" applyBorder="1" applyAlignment="1" applyProtection="1">
      <alignment vertical="center"/>
    </xf>
    <xf numFmtId="0" fontId="33" fillId="2" borderId="99" xfId="0" applyFont="1" applyFill="1" applyBorder="1" applyAlignment="1" applyProtection="1">
      <alignment vertical="center"/>
    </xf>
    <xf numFmtId="0" fontId="62" fillId="2" borderId="118" xfId="0" applyFont="1" applyFill="1" applyBorder="1" applyAlignment="1" applyProtection="1">
      <alignment horizontal="center" vertical="center"/>
    </xf>
    <xf numFmtId="0" fontId="50" fillId="2" borderId="118" xfId="0" applyFont="1" applyFill="1" applyBorder="1" applyAlignment="1" applyProtection="1">
      <alignment vertical="center"/>
    </xf>
    <xf numFmtId="0" fontId="62" fillId="2" borderId="104" xfId="0" applyFont="1" applyFill="1" applyBorder="1" applyAlignment="1" applyProtection="1">
      <alignment horizontal="center" vertical="center"/>
    </xf>
    <xf numFmtId="0" fontId="33" fillId="3" borderId="118" xfId="0" applyFont="1" applyFill="1" applyBorder="1" applyAlignment="1" applyProtection="1">
      <alignment horizontal="right" vertical="center"/>
    </xf>
    <xf numFmtId="0" fontId="91" fillId="0" borderId="112" xfId="0" applyFont="1" applyFill="1" applyBorder="1" applyAlignment="1" applyProtection="1">
      <alignment vertical="center"/>
    </xf>
    <xf numFmtId="0" fontId="91" fillId="0" borderId="0" xfId="0" applyFont="1" applyFill="1" applyBorder="1" applyAlignment="1" applyProtection="1">
      <alignment vertical="center"/>
    </xf>
    <xf numFmtId="0" fontId="52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52" fillId="34" borderId="107" xfId="0" applyFont="1" applyFill="1" applyBorder="1" applyAlignment="1" applyProtection="1">
      <alignment vertical="center"/>
    </xf>
    <xf numFmtId="0" fontId="33" fillId="2" borderId="120" xfId="0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>
      <alignment vertical="center"/>
    </xf>
    <xf numFmtId="0" fontId="41" fillId="2" borderId="0" xfId="0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vertical="center"/>
    </xf>
    <xf numFmtId="0" fontId="44" fillId="20" borderId="0" xfId="0" applyFont="1" applyFill="1" applyBorder="1" applyAlignment="1" applyProtection="1">
      <alignment vertical="center"/>
    </xf>
    <xf numFmtId="0" fontId="48" fillId="3" borderId="0" xfId="0" applyFont="1" applyFill="1" applyBorder="1" applyAlignment="1" applyProtection="1">
      <alignment horizontal="center" vertical="center"/>
    </xf>
    <xf numFmtId="0" fontId="48" fillId="3" borderId="0" xfId="0" applyFont="1" applyFill="1" applyBorder="1" applyAlignment="1" applyProtection="1">
      <alignment horizontal="right" vertical="center"/>
    </xf>
    <xf numFmtId="0" fontId="49" fillId="3" borderId="0" xfId="0" applyFont="1" applyFill="1" applyBorder="1" applyAlignment="1" applyProtection="1">
      <alignment horizontal="right" vertical="center"/>
    </xf>
    <xf numFmtId="0" fontId="50" fillId="3" borderId="0" xfId="0" applyFont="1" applyFill="1" applyBorder="1" applyAlignment="1" applyProtection="1">
      <alignment vertical="center"/>
    </xf>
    <xf numFmtId="0" fontId="50" fillId="0" borderId="0" xfId="0" applyFont="1" applyFill="1" applyBorder="1" applyAlignment="1" applyProtection="1">
      <alignment vertical="center"/>
    </xf>
    <xf numFmtId="0" fontId="47" fillId="2" borderId="0" xfId="0" applyFont="1" applyFill="1" applyBorder="1" applyAlignment="1" applyProtection="1">
      <alignment vertical="center"/>
    </xf>
    <xf numFmtId="0" fontId="50" fillId="3" borderId="0" xfId="0" applyFont="1" applyFill="1" applyBorder="1" applyAlignment="1" applyProtection="1">
      <alignment horizontal="right" vertical="center"/>
    </xf>
    <xf numFmtId="0" fontId="49" fillId="0" borderId="0" xfId="0" applyFont="1" applyFill="1" applyBorder="1" applyAlignment="1" applyProtection="1">
      <alignment horizontal="right" vertical="center"/>
    </xf>
    <xf numFmtId="0" fontId="75" fillId="2" borderId="0" xfId="0" applyFont="1" applyFill="1" applyBorder="1" applyAlignment="1" applyProtection="1">
      <alignment vertical="center"/>
    </xf>
    <xf numFmtId="0" fontId="33" fillId="0" borderId="114" xfId="0" applyFont="1" applyFill="1" applyBorder="1" applyAlignment="1" applyProtection="1">
      <alignment vertical="center"/>
    </xf>
    <xf numFmtId="0" fontId="45" fillId="2" borderId="0" xfId="0" applyFont="1" applyFill="1" applyBorder="1" applyAlignment="1" applyProtection="1">
      <alignment vertical="center"/>
    </xf>
    <xf numFmtId="0" fontId="89" fillId="2" borderId="0" xfId="0" applyFont="1" applyFill="1" applyBorder="1" applyAlignment="1" applyProtection="1">
      <alignment vertical="center"/>
    </xf>
    <xf numFmtId="0" fontId="57" fillId="2" borderId="0" xfId="0" applyFont="1" applyFill="1" applyBorder="1" applyAlignment="1" applyProtection="1">
      <alignment horizontal="right" vertical="center"/>
    </xf>
    <xf numFmtId="0" fontId="60" fillId="20" borderId="0" xfId="0" applyFont="1" applyFill="1" applyBorder="1" applyAlignment="1" applyProtection="1">
      <alignment horizontal="right" vertical="center" wrapText="1"/>
    </xf>
    <xf numFmtId="0" fontId="60" fillId="2" borderId="0" xfId="0" applyFont="1" applyFill="1" applyBorder="1" applyAlignment="1" applyProtection="1">
      <alignment horizontal="right" vertical="center"/>
    </xf>
    <xf numFmtId="0" fontId="62" fillId="2" borderId="0" xfId="0" applyFont="1" applyFill="1" applyBorder="1" applyAlignment="1" applyProtection="1">
      <alignment vertical="center"/>
    </xf>
    <xf numFmtId="0" fontId="56" fillId="2" borderId="0" xfId="0" applyFont="1" applyFill="1" applyBorder="1" applyAlignment="1" applyProtection="1">
      <alignment horizontal="right" vertical="center"/>
    </xf>
    <xf numFmtId="165" fontId="39" fillId="2" borderId="0" xfId="0" applyNumberFormat="1" applyFont="1" applyFill="1" applyBorder="1" applyAlignment="1" applyProtection="1">
      <alignment vertical="center"/>
    </xf>
    <xf numFmtId="166" fontId="56" fillId="2" borderId="0" xfId="0" applyNumberFormat="1" applyFont="1" applyFill="1" applyBorder="1" applyAlignment="1" applyProtection="1">
      <alignment vertical="center"/>
    </xf>
    <xf numFmtId="167" fontId="64" fillId="2" borderId="0" xfId="10" applyFont="1" applyFill="1" applyBorder="1" applyAlignment="1" applyProtection="1">
      <alignment horizontal="right" vertical="center" wrapText="1"/>
    </xf>
    <xf numFmtId="0" fontId="84" fillId="2" borderId="0" xfId="0" applyFont="1" applyFill="1" applyBorder="1" applyAlignment="1" applyProtection="1">
      <alignment vertical="center"/>
    </xf>
    <xf numFmtId="0" fontId="35" fillId="2" borderId="0" xfId="0" applyFont="1" applyFill="1" applyBorder="1" applyAlignment="1" applyProtection="1">
      <alignment horizontal="center" vertical="center"/>
    </xf>
    <xf numFmtId="166" fontId="65" fillId="2" borderId="0" xfId="2" applyFont="1" applyFill="1" applyBorder="1" applyAlignment="1" applyProtection="1">
      <alignment vertical="center"/>
    </xf>
    <xf numFmtId="43" fontId="56" fillId="2" borderId="0" xfId="0" applyNumberFormat="1" applyFont="1" applyFill="1" applyBorder="1" applyAlignment="1" applyProtection="1">
      <alignment vertical="center"/>
    </xf>
    <xf numFmtId="0" fontId="66" fillId="2" borderId="0" xfId="0" applyFont="1" applyFill="1" applyBorder="1" applyAlignment="1" applyProtection="1">
      <alignment horizontal="right" vertical="center" wrapText="1"/>
    </xf>
    <xf numFmtId="166" fontId="50" fillId="2" borderId="0" xfId="2" applyFont="1" applyFill="1" applyBorder="1" applyAlignment="1" applyProtection="1">
      <alignment vertical="center"/>
    </xf>
    <xf numFmtId="0" fontId="62" fillId="2" borderId="0" xfId="0" applyFont="1" applyFill="1" applyBorder="1" applyAlignment="1" applyProtection="1">
      <alignment horizontal="center" vertical="center"/>
    </xf>
    <xf numFmtId="0" fontId="67" fillId="2" borderId="0" xfId="0" applyFont="1" applyFill="1" applyBorder="1" applyAlignment="1" applyProtection="1">
      <alignment vertical="center"/>
    </xf>
    <xf numFmtId="0" fontId="62" fillId="2" borderId="0" xfId="0" applyFont="1" applyFill="1" applyBorder="1" applyAlignment="1" applyProtection="1">
      <alignment horizontal="right" vertical="center"/>
    </xf>
    <xf numFmtId="0" fontId="45" fillId="2" borderId="0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vertical="center"/>
    </xf>
    <xf numFmtId="14" fontId="39" fillId="2" borderId="0" xfId="0" applyNumberFormat="1" applyFont="1" applyFill="1" applyBorder="1" applyAlignment="1" applyProtection="1">
      <alignment vertical="center"/>
    </xf>
    <xf numFmtId="0" fontId="57" fillId="2" borderId="0" xfId="0" applyFont="1" applyFill="1" applyBorder="1" applyAlignment="1" applyProtection="1">
      <alignment vertical="center" wrapText="1"/>
    </xf>
    <xf numFmtId="166" fontId="50" fillId="2" borderId="0" xfId="2" applyNumberFormat="1" applyFont="1" applyFill="1" applyBorder="1" applyAlignment="1" applyProtection="1">
      <alignment vertical="center"/>
    </xf>
    <xf numFmtId="166" fontId="50" fillId="2" borderId="0" xfId="0" applyNumberFormat="1" applyFont="1" applyFill="1" applyBorder="1" applyAlignment="1" applyProtection="1">
      <alignment vertical="center"/>
    </xf>
    <xf numFmtId="0" fontId="50" fillId="2" borderId="0" xfId="0" applyFont="1" applyFill="1" applyBorder="1" applyAlignment="1" applyProtection="1">
      <alignment vertical="center"/>
    </xf>
    <xf numFmtId="166" fontId="58" fillId="2" borderId="0" xfId="2" applyFont="1" applyFill="1" applyBorder="1" applyAlignment="1" applyProtection="1">
      <alignment horizontal="center" vertical="center"/>
    </xf>
    <xf numFmtId="176" fontId="58" fillId="2" borderId="0" xfId="2" applyNumberFormat="1" applyFont="1" applyFill="1" applyBorder="1" applyAlignment="1" applyProtection="1">
      <alignment horizontal="center" vertical="center"/>
    </xf>
    <xf numFmtId="0" fontId="82" fillId="2" borderId="0" xfId="0" applyFont="1" applyFill="1" applyBorder="1" applyAlignment="1" applyProtection="1">
      <alignment vertical="center" wrapText="1"/>
    </xf>
    <xf numFmtId="0" fontId="33" fillId="2" borderId="121" xfId="0" applyFont="1" applyFill="1" applyBorder="1" applyAlignment="1" applyProtection="1">
      <alignment vertical="center"/>
    </xf>
    <xf numFmtId="0" fontId="33" fillId="2" borderId="112" xfId="0" applyFont="1" applyFill="1" applyBorder="1" applyAlignment="1" applyProtection="1">
      <alignment vertical="center"/>
    </xf>
    <xf numFmtId="168" fontId="0" fillId="22" borderId="3" xfId="10" applyNumberFormat="1" applyFont="1" applyFill="1" applyBorder="1" applyAlignment="1" applyProtection="1">
      <alignment vertical="center"/>
    </xf>
    <xf numFmtId="167" fontId="5" fillId="0" borderId="3" xfId="10" applyFont="1" applyFill="1" applyBorder="1" applyAlignment="1" applyProtection="1">
      <alignment vertical="center" wrapText="1"/>
    </xf>
    <xf numFmtId="10" fontId="5" fillId="0" borderId="3" xfId="0" applyNumberFormat="1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179" fontId="4" fillId="0" borderId="3" xfId="0" applyNumberFormat="1" applyFont="1" applyFill="1" applyBorder="1" applyAlignment="1" applyProtection="1">
      <alignment vertical="center" wrapText="1"/>
    </xf>
    <xf numFmtId="0" fontId="93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wrapText="1"/>
    </xf>
    <xf numFmtId="0" fontId="59" fillId="0" borderId="0" xfId="0" applyFont="1" applyFill="1" applyBorder="1" applyAlignment="1" applyProtection="1">
      <alignment vertical="center" wrapText="1"/>
    </xf>
    <xf numFmtId="0" fontId="66" fillId="2" borderId="7" xfId="0" applyFont="1" applyFill="1" applyBorder="1" applyAlignment="1" applyProtection="1">
      <alignment horizontal="center" vertical="center" wrapText="1"/>
    </xf>
    <xf numFmtId="17" fontId="48" fillId="2" borderId="0" xfId="0" applyNumberFormat="1" applyFont="1" applyFill="1" applyBorder="1" applyAlignment="1" applyProtection="1">
      <alignment horizontal="center" vertical="center"/>
    </xf>
    <xf numFmtId="0" fontId="48" fillId="2" borderId="0" xfId="0" applyNumberFormat="1" applyFont="1" applyFill="1" applyBorder="1" applyAlignment="1" applyProtection="1">
      <alignment vertical="center"/>
    </xf>
    <xf numFmtId="0" fontId="48" fillId="0" borderId="0" xfId="0" applyNumberFormat="1" applyFont="1" applyFill="1" applyBorder="1" applyAlignment="1" applyProtection="1">
      <alignment horizontal="center" vertical="center"/>
    </xf>
    <xf numFmtId="167" fontId="35" fillId="2" borderId="0" xfId="1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166" fontId="35" fillId="0" borderId="0" xfId="2" applyFont="1" applyFill="1" applyBorder="1" applyAlignment="1" applyProtection="1">
      <alignment horizontal="center" vertical="center"/>
    </xf>
    <xf numFmtId="167" fontId="48" fillId="2" borderId="0" xfId="10" applyFont="1" applyFill="1" applyBorder="1" applyAlignment="1" applyProtection="1">
      <alignment horizontal="center" vertical="center"/>
    </xf>
    <xf numFmtId="166" fontId="48" fillId="0" borderId="0" xfId="2" applyFont="1" applyFill="1" applyBorder="1" applyAlignment="1" applyProtection="1">
      <alignment horizontal="center" vertical="center"/>
    </xf>
    <xf numFmtId="0" fontId="48" fillId="0" borderId="0" xfId="0" applyFont="1" applyFill="1" applyBorder="1" applyAlignment="1" applyProtection="1">
      <alignment horizontal="center" vertical="center" wrapText="1"/>
    </xf>
    <xf numFmtId="0" fontId="35" fillId="0" borderId="0" xfId="2" applyNumberFormat="1" applyFont="1" applyFill="1" applyBorder="1" applyAlignment="1" applyProtection="1">
      <alignment horizontal="center" vertical="center"/>
    </xf>
    <xf numFmtId="0" fontId="48" fillId="0" borderId="0" xfId="2" applyNumberFormat="1" applyFont="1" applyFill="1" applyBorder="1" applyAlignment="1" applyProtection="1">
      <alignment horizontal="center" vertical="center"/>
    </xf>
    <xf numFmtId="0" fontId="68" fillId="2" borderId="0" xfId="0" applyFont="1" applyFill="1" applyBorder="1" applyAlignment="1" applyProtection="1">
      <alignment horizontal="center" vertical="center"/>
    </xf>
    <xf numFmtId="167" fontId="68" fillId="2" borderId="0" xfId="10" applyFont="1" applyFill="1" applyBorder="1" applyAlignment="1" applyProtection="1">
      <alignment horizontal="center" vertical="center"/>
    </xf>
    <xf numFmtId="0" fontId="48" fillId="30" borderId="68" xfId="0" applyNumberFormat="1" applyFont="1" applyFill="1" applyBorder="1" applyAlignment="1" applyProtection="1">
      <alignment horizontal="center" vertical="center" wrapText="1"/>
    </xf>
    <xf numFmtId="0" fontId="48" fillId="2" borderId="0" xfId="0" applyFont="1" applyFill="1" applyBorder="1" applyAlignment="1" applyProtection="1">
      <alignment horizontal="center" vertical="center"/>
    </xf>
    <xf numFmtId="167" fontId="56" fillId="2" borderId="0" xfId="10" applyFont="1" applyFill="1" applyBorder="1" applyAlignment="1" applyProtection="1">
      <alignment vertical="center"/>
    </xf>
    <xf numFmtId="10" fontId="48" fillId="31" borderId="3" xfId="4" applyNumberFormat="1" applyFont="1" applyFill="1" applyBorder="1" applyAlignment="1" applyProtection="1">
      <alignment horizontal="center" vertical="center"/>
    </xf>
    <xf numFmtId="166" fontId="48" fillId="0" borderId="0" xfId="2" applyNumberFormat="1" applyFont="1" applyFill="1" applyBorder="1" applyAlignment="1" applyProtection="1">
      <alignment horizontal="center" vertical="center"/>
    </xf>
    <xf numFmtId="10" fontId="48" fillId="0" borderId="0" xfId="4" applyNumberFormat="1" applyFont="1" applyFill="1" applyBorder="1" applyAlignment="1" applyProtection="1">
      <alignment horizontal="center" vertical="center"/>
    </xf>
    <xf numFmtId="0" fontId="50" fillId="2" borderId="104" xfId="0" applyFont="1" applyFill="1" applyBorder="1" applyAlignment="1" applyProtection="1">
      <alignment vertical="center"/>
    </xf>
    <xf numFmtId="4" fontId="33" fillId="0" borderId="0" xfId="0" applyNumberFormat="1" applyFont="1" applyFill="1" applyAlignment="1" applyProtection="1">
      <alignment vertical="center"/>
    </xf>
    <xf numFmtId="4" fontId="33" fillId="2" borderId="0" xfId="0" applyNumberFormat="1" applyFont="1" applyFill="1" applyAlignment="1" applyProtection="1">
      <alignment vertical="center"/>
    </xf>
    <xf numFmtId="0" fontId="93" fillId="0" borderId="123" xfId="0" applyFont="1" applyFill="1" applyBorder="1" applyAlignment="1" applyProtection="1">
      <alignment horizontal="center" vertical="center"/>
    </xf>
    <xf numFmtId="4" fontId="39" fillId="2" borderId="0" xfId="0" applyNumberFormat="1" applyFont="1" applyFill="1" applyBorder="1" applyAlignment="1" applyProtection="1">
      <alignment vertical="center"/>
    </xf>
    <xf numFmtId="8" fontId="39" fillId="2" borderId="0" xfId="0" applyNumberFormat="1" applyFont="1" applyFill="1" applyBorder="1" applyAlignment="1" applyProtection="1">
      <alignment vertical="center"/>
    </xf>
    <xf numFmtId="4" fontId="0" fillId="0" borderId="0" xfId="0" applyNumberFormat="1" applyAlignment="1">
      <alignment horizontal="center" vertical="center"/>
    </xf>
    <xf numFmtId="176" fontId="72" fillId="2" borderId="4" xfId="2" applyNumberFormat="1" applyFont="1" applyFill="1" applyBorder="1" applyAlignment="1" applyProtection="1">
      <alignment horizontal="center" vertical="center"/>
    </xf>
    <xf numFmtId="167" fontId="66" fillId="2" borderId="0" xfId="10" applyFont="1" applyFill="1" applyBorder="1" applyAlignment="1" applyProtection="1">
      <alignment horizontal="center" vertical="center"/>
    </xf>
    <xf numFmtId="0" fontId="66" fillId="2" borderId="75" xfId="0" applyFont="1" applyFill="1" applyBorder="1" applyAlignment="1" applyProtection="1">
      <alignment horizontal="center" vertical="center" wrapText="1"/>
    </xf>
    <xf numFmtId="166" fontId="43" fillId="13" borderId="76" xfId="2" applyFont="1" applyFill="1" applyBorder="1" applyAlignment="1" applyProtection="1">
      <alignment horizontal="center" vertical="center"/>
    </xf>
    <xf numFmtId="166" fontId="43" fillId="13" borderId="70" xfId="2" applyFont="1" applyFill="1" applyBorder="1" applyAlignment="1" applyProtection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48" fillId="2" borderId="0" xfId="0" applyFont="1" applyFill="1" applyBorder="1" applyAlignment="1" applyProtection="1">
      <alignment horizontal="center" vertical="center" wrapText="1"/>
    </xf>
    <xf numFmtId="0" fontId="66" fillId="2" borderId="0" xfId="0" applyFont="1" applyFill="1" applyBorder="1" applyAlignment="1" applyProtection="1">
      <alignment horizontal="center" vertical="center"/>
    </xf>
    <xf numFmtId="0" fontId="47" fillId="2" borderId="0" xfId="0" applyFont="1" applyFill="1" applyBorder="1" applyAlignment="1" applyProtection="1">
      <alignment horizontal="center" vertical="center" wrapText="1"/>
    </xf>
    <xf numFmtId="7" fontId="73" fillId="2" borderId="0" xfId="0" applyNumberFormat="1" applyFont="1" applyFill="1" applyBorder="1" applyAlignment="1" applyProtection="1">
      <alignment horizontal="center" vertical="center"/>
    </xf>
    <xf numFmtId="178" fontId="73" fillId="2" borderId="0" xfId="0" applyNumberFormat="1" applyFont="1" applyFill="1" applyBorder="1" applyAlignment="1" applyProtection="1">
      <alignment horizontal="center" vertical="center"/>
    </xf>
    <xf numFmtId="17" fontId="66" fillId="13" borderId="1" xfId="0" applyNumberFormat="1" applyFont="1" applyFill="1" applyBorder="1" applyAlignment="1" applyProtection="1">
      <alignment horizontal="center" vertical="center"/>
    </xf>
    <xf numFmtId="167" fontId="48" fillId="2" borderId="0" xfId="10" applyFont="1" applyFill="1" applyBorder="1" applyAlignment="1" applyProtection="1">
      <alignment horizontal="center" vertical="center" wrapText="1"/>
    </xf>
    <xf numFmtId="0" fontId="52" fillId="34" borderId="100" xfId="0" applyNumberFormat="1" applyFont="1" applyFill="1" applyBorder="1" applyAlignment="1" applyProtection="1">
      <alignment horizontal="center" vertical="center"/>
    </xf>
    <xf numFmtId="0" fontId="69" fillId="0" borderId="0" xfId="0" applyFont="1" applyFill="1" applyBorder="1" applyAlignment="1" applyProtection="1">
      <alignment horizontal="center" vertical="center" wrapText="1"/>
    </xf>
    <xf numFmtId="17" fontId="48" fillId="0" borderId="0" xfId="0" applyNumberFormat="1" applyFont="1" applyFill="1" applyBorder="1" applyAlignment="1" applyProtection="1">
      <alignment horizontal="center" vertical="center"/>
    </xf>
    <xf numFmtId="164" fontId="95" fillId="23" borderId="66" xfId="0" applyNumberFormat="1" applyFont="1" applyFill="1" applyBorder="1" applyAlignment="1">
      <alignment horizontal="center" vertical="center" wrapText="1"/>
    </xf>
    <xf numFmtId="14" fontId="52" fillId="34" borderId="0" xfId="2" applyNumberFormat="1" applyFont="1" applyFill="1" applyBorder="1" applyAlignment="1" applyProtection="1">
      <alignment horizontal="center" vertical="center"/>
    </xf>
    <xf numFmtId="166" fontId="52" fillId="34" borderId="0" xfId="2" applyFont="1" applyFill="1" applyBorder="1" applyAlignment="1" applyProtection="1">
      <alignment horizontal="center" vertical="center"/>
    </xf>
    <xf numFmtId="14" fontId="51" fillId="0" borderId="0" xfId="2" applyNumberFormat="1" applyFont="1" applyFill="1" applyBorder="1" applyAlignment="1" applyProtection="1">
      <alignment horizontal="center" vertical="center"/>
    </xf>
    <xf numFmtId="0" fontId="35" fillId="32" borderId="3" xfId="0" applyNumberFormat="1" applyFont="1" applyFill="1" applyBorder="1" applyAlignment="1" applyProtection="1">
      <alignment horizontal="center" vertical="center"/>
      <protection locked="0"/>
    </xf>
    <xf numFmtId="0" fontId="96" fillId="0" borderId="0" xfId="0" applyFont="1" applyFill="1" applyAlignment="1">
      <alignment vertical="center"/>
    </xf>
    <xf numFmtId="0" fontId="4" fillId="19" borderId="38" xfId="0" applyFont="1" applyFill="1" applyBorder="1" applyAlignment="1">
      <alignment horizontal="center" vertical="center"/>
    </xf>
    <xf numFmtId="164" fontId="95" fillId="19" borderId="66" xfId="0" applyNumberFormat="1" applyFont="1" applyFill="1" applyBorder="1" applyAlignment="1">
      <alignment horizontal="center" vertical="center" wrapText="1"/>
    </xf>
    <xf numFmtId="0" fontId="33" fillId="19" borderId="0" xfId="0" applyFont="1" applyFill="1" applyAlignment="1" applyProtection="1">
      <alignment vertical="center"/>
    </xf>
    <xf numFmtId="4" fontId="60" fillId="2" borderId="0" xfId="0" applyNumberFormat="1" applyFont="1" applyFill="1" applyBorder="1" applyAlignment="1" applyProtection="1">
      <alignment horizontal="right" vertical="center"/>
    </xf>
    <xf numFmtId="0" fontId="48" fillId="2" borderId="0" xfId="0" applyFont="1" applyFill="1" applyBorder="1" applyAlignment="1" applyProtection="1">
      <alignment horizontal="center" vertical="center" wrapText="1"/>
    </xf>
    <xf numFmtId="0" fontId="69" fillId="0" borderId="0" xfId="0" applyFont="1" applyFill="1" applyBorder="1" applyAlignment="1" applyProtection="1">
      <alignment horizontal="center" vertical="center" wrapText="1"/>
    </xf>
    <xf numFmtId="17" fontId="66" fillId="13" borderId="1" xfId="0" applyNumberFormat="1" applyFont="1" applyFill="1" applyBorder="1" applyAlignment="1" applyProtection="1">
      <alignment horizontal="center" vertical="center"/>
    </xf>
    <xf numFmtId="166" fontId="43" fillId="13" borderId="76" xfId="2" applyFont="1" applyFill="1" applyBorder="1" applyAlignment="1" applyProtection="1">
      <alignment horizontal="center" vertical="center"/>
    </xf>
    <xf numFmtId="166" fontId="43" fillId="13" borderId="70" xfId="2" applyFont="1" applyFill="1" applyBorder="1" applyAlignment="1" applyProtection="1">
      <alignment horizontal="center" vertical="center"/>
    </xf>
    <xf numFmtId="0" fontId="0" fillId="16" borderId="3" xfId="0" applyFill="1" applyBorder="1" applyAlignment="1">
      <alignment horizontal="left"/>
    </xf>
    <xf numFmtId="166" fontId="63" fillId="36" borderId="95" xfId="2" applyFont="1" applyFill="1" applyBorder="1" applyAlignment="1" applyProtection="1">
      <alignment horizontal="center" vertical="center" wrapText="1"/>
      <protection locked="0"/>
    </xf>
    <xf numFmtId="0" fontId="48" fillId="36" borderId="0" xfId="0" applyFont="1" applyFill="1" applyBorder="1" applyAlignment="1" applyProtection="1">
      <alignment horizontal="left" vertical="center"/>
      <protection locked="0"/>
    </xf>
    <xf numFmtId="14" fontId="51" fillId="36" borderId="0" xfId="2" applyNumberFormat="1" applyFont="1" applyFill="1" applyBorder="1" applyAlignment="1" applyProtection="1">
      <alignment horizontal="center" vertical="center"/>
    </xf>
    <xf numFmtId="0" fontId="48" fillId="36" borderId="106" xfId="0" applyFont="1" applyFill="1" applyBorder="1" applyAlignment="1" applyProtection="1">
      <alignment horizontal="center" vertical="center"/>
      <protection locked="0"/>
    </xf>
    <xf numFmtId="0" fontId="48" fillId="36" borderId="104" xfId="0" applyFont="1" applyFill="1" applyBorder="1" applyAlignment="1" applyProtection="1">
      <alignment horizontal="center" vertical="center"/>
      <protection locked="0"/>
    </xf>
    <xf numFmtId="0" fontId="48" fillId="36" borderId="0" xfId="0" applyNumberFormat="1" applyFont="1" applyFill="1" applyBorder="1" applyAlignment="1" applyProtection="1">
      <alignment horizontal="center" vertical="center"/>
      <protection locked="0"/>
    </xf>
    <xf numFmtId="0" fontId="48" fillId="36" borderId="99" xfId="0" applyNumberFormat="1" applyFont="1" applyFill="1" applyBorder="1" applyAlignment="1" applyProtection="1">
      <alignment horizontal="center" vertical="center"/>
      <protection locked="0"/>
    </xf>
    <xf numFmtId="0" fontId="48" fillId="36" borderId="3" xfId="0" applyNumberFormat="1" applyFont="1" applyFill="1" applyBorder="1" applyAlignment="1" applyProtection="1">
      <alignment horizontal="center" vertical="center"/>
      <protection locked="0"/>
    </xf>
    <xf numFmtId="4" fontId="33" fillId="3" borderId="0" xfId="0" applyNumberFormat="1" applyFont="1" applyFill="1" applyBorder="1" applyAlignment="1" applyProtection="1">
      <alignment vertical="center"/>
    </xf>
    <xf numFmtId="0" fontId="97" fillId="2" borderId="0" xfId="0" applyFont="1" applyFill="1" applyBorder="1" applyAlignment="1" applyProtection="1">
      <alignment vertical="center"/>
    </xf>
    <xf numFmtId="9" fontId="0" fillId="0" borderId="0" xfId="4" applyFont="1" applyAlignment="1">
      <alignment vertical="center"/>
    </xf>
    <xf numFmtId="9" fontId="0" fillId="0" borderId="0" xfId="4" applyFont="1" applyFill="1" applyAlignment="1">
      <alignment vertical="center"/>
    </xf>
    <xf numFmtId="9" fontId="4" fillId="2" borderId="3" xfId="4" applyFont="1" applyFill="1" applyBorder="1" applyAlignment="1">
      <alignment horizontal="center" vertical="center"/>
    </xf>
    <xf numFmtId="9" fontId="0" fillId="2" borderId="3" xfId="4" applyFont="1" applyFill="1" applyBorder="1" applyAlignment="1">
      <alignment horizontal="center" vertical="center"/>
    </xf>
    <xf numFmtId="0" fontId="1" fillId="22" borderId="0" xfId="0" applyFont="1" applyFill="1" applyBorder="1"/>
    <xf numFmtId="10" fontId="77" fillId="2" borderId="0" xfId="4" applyNumberFormat="1" applyFont="1" applyFill="1" applyBorder="1" applyAlignment="1" applyProtection="1">
      <alignment vertical="center"/>
    </xf>
    <xf numFmtId="0" fontId="77" fillId="2" borderId="0" xfId="0" applyFont="1" applyFill="1" applyBorder="1" applyAlignment="1" applyProtection="1">
      <alignment vertical="center"/>
    </xf>
    <xf numFmtId="176" fontId="72" fillId="2" borderId="4" xfId="2" applyNumberFormat="1" applyFont="1" applyFill="1" applyBorder="1" applyAlignment="1" applyProtection="1">
      <alignment horizontal="center" vertical="center"/>
    </xf>
    <xf numFmtId="176" fontId="72" fillId="2" borderId="31" xfId="2" applyNumberFormat="1" applyFont="1" applyFill="1" applyBorder="1" applyAlignment="1" applyProtection="1">
      <alignment horizontal="center" vertical="center"/>
    </xf>
    <xf numFmtId="176" fontId="50" fillId="2" borderId="0" xfId="2" applyNumberFormat="1" applyFont="1" applyFill="1" applyAlignment="1" applyProtection="1">
      <alignment horizontal="center" vertical="center"/>
    </xf>
    <xf numFmtId="176" fontId="72" fillId="2" borderId="6" xfId="2" applyNumberFormat="1" applyFont="1" applyFill="1" applyBorder="1" applyAlignment="1" applyProtection="1">
      <alignment horizontal="center" vertical="center"/>
    </xf>
    <xf numFmtId="176" fontId="50" fillId="2" borderId="20" xfId="2" applyNumberFormat="1" applyFont="1" applyFill="1" applyBorder="1" applyAlignment="1" applyProtection="1">
      <alignment horizontal="center" vertical="center"/>
    </xf>
    <xf numFmtId="176" fontId="72" fillId="2" borderId="23" xfId="2" applyNumberFormat="1" applyFont="1" applyFill="1" applyBorder="1" applyAlignment="1" applyProtection="1">
      <alignment horizontal="center" vertical="center"/>
    </xf>
    <xf numFmtId="176" fontId="72" fillId="2" borderId="22" xfId="2" applyNumberFormat="1" applyFont="1" applyFill="1" applyBorder="1" applyAlignment="1" applyProtection="1">
      <alignment horizontal="center" vertical="center"/>
    </xf>
    <xf numFmtId="0" fontId="47" fillId="2" borderId="3" xfId="0" applyFont="1" applyFill="1" applyBorder="1" applyAlignment="1" applyProtection="1">
      <alignment horizontal="center" vertical="center" wrapText="1"/>
    </xf>
    <xf numFmtId="0" fontId="47" fillId="2" borderId="26" xfId="0" applyFont="1" applyFill="1" applyBorder="1" applyAlignment="1" applyProtection="1">
      <alignment horizontal="center" vertical="center" wrapText="1"/>
    </xf>
    <xf numFmtId="0" fontId="47" fillId="2" borderId="21" xfId="0" applyFont="1" applyFill="1" applyBorder="1" applyAlignment="1" applyProtection="1">
      <alignment horizontal="center" vertical="center" wrapText="1"/>
    </xf>
    <xf numFmtId="0" fontId="47" fillId="2" borderId="17" xfId="0" applyFont="1" applyFill="1" applyBorder="1" applyAlignment="1" applyProtection="1">
      <alignment horizontal="center" vertical="center" wrapText="1"/>
    </xf>
    <xf numFmtId="0" fontId="47" fillId="2" borderId="25" xfId="0" applyFont="1" applyFill="1" applyBorder="1" applyAlignment="1" applyProtection="1">
      <alignment horizontal="center" vertical="center" wrapText="1"/>
    </xf>
    <xf numFmtId="0" fontId="47" fillId="2" borderId="8" xfId="0" applyFont="1" applyFill="1" applyBorder="1" applyAlignment="1" applyProtection="1">
      <alignment horizontal="center" vertical="center"/>
    </xf>
    <xf numFmtId="0" fontId="47" fillId="2" borderId="0" xfId="0" applyFont="1" applyFill="1" applyBorder="1" applyAlignment="1" applyProtection="1">
      <alignment horizontal="center" vertical="center"/>
    </xf>
    <xf numFmtId="0" fontId="47" fillId="2" borderId="10" xfId="0" applyFont="1" applyFill="1" applyBorder="1" applyAlignment="1" applyProtection="1">
      <alignment horizontal="center" vertical="center"/>
    </xf>
    <xf numFmtId="0" fontId="47" fillId="2" borderId="85" xfId="0" applyFont="1" applyFill="1" applyBorder="1" applyAlignment="1" applyProtection="1">
      <alignment horizontal="center" vertical="center"/>
    </xf>
    <xf numFmtId="0" fontId="47" fillId="2" borderId="86" xfId="0" applyFont="1" applyFill="1" applyBorder="1" applyAlignment="1" applyProtection="1">
      <alignment horizontal="center" vertical="center"/>
    </xf>
    <xf numFmtId="0" fontId="47" fillId="2" borderId="66" xfId="0" applyFont="1" applyFill="1" applyBorder="1" applyAlignment="1" applyProtection="1">
      <alignment horizontal="center" vertical="center"/>
    </xf>
    <xf numFmtId="167" fontId="43" fillId="2" borderId="76" xfId="10" applyFont="1" applyFill="1" applyBorder="1" applyAlignment="1" applyProtection="1">
      <alignment horizontal="center" vertical="center"/>
    </xf>
    <xf numFmtId="167" fontId="43" fillId="2" borderId="70" xfId="10" applyFont="1" applyFill="1" applyBorder="1" applyAlignment="1" applyProtection="1">
      <alignment horizontal="center" vertical="center"/>
    </xf>
    <xf numFmtId="167" fontId="66" fillId="2" borderId="0" xfId="10" applyFont="1" applyFill="1" applyBorder="1" applyAlignment="1" applyProtection="1">
      <alignment horizontal="center" vertical="center"/>
    </xf>
    <xf numFmtId="0" fontId="66" fillId="2" borderId="0" xfId="0" applyFont="1" applyFill="1" applyBorder="1" applyAlignment="1" applyProtection="1">
      <alignment horizontal="center" vertical="center" wrapText="1"/>
    </xf>
    <xf numFmtId="0" fontId="71" fillId="2" borderId="79" xfId="0" applyFont="1" applyFill="1" applyBorder="1" applyAlignment="1" applyProtection="1">
      <alignment horizontal="center" vertical="center" wrapText="1"/>
    </xf>
    <xf numFmtId="0" fontId="71" fillId="2" borderId="80" xfId="0" applyFont="1" applyFill="1" applyBorder="1" applyAlignment="1" applyProtection="1">
      <alignment horizontal="center" vertical="center" wrapText="1"/>
    </xf>
    <xf numFmtId="0" fontId="71" fillId="2" borderId="81" xfId="0" applyFont="1" applyFill="1" applyBorder="1" applyAlignment="1" applyProtection="1">
      <alignment horizontal="center" vertical="center" wrapText="1"/>
    </xf>
    <xf numFmtId="0" fontId="66" fillId="2" borderId="75" xfId="0" applyFont="1" applyFill="1" applyBorder="1" applyAlignment="1" applyProtection="1">
      <alignment horizontal="center" vertical="center" wrapText="1"/>
    </xf>
    <xf numFmtId="0" fontId="66" fillId="2" borderId="122" xfId="0" applyFont="1" applyFill="1" applyBorder="1" applyAlignment="1" applyProtection="1">
      <alignment horizontal="center" vertical="center" wrapText="1"/>
    </xf>
    <xf numFmtId="166" fontId="37" fillId="33" borderId="119" xfId="2" applyFont="1" applyFill="1" applyBorder="1" applyAlignment="1" applyProtection="1">
      <alignment horizontal="center" vertical="center"/>
    </xf>
    <xf numFmtId="166" fontId="37" fillId="33" borderId="104" xfId="2" applyFont="1" applyFill="1" applyBorder="1" applyAlignment="1" applyProtection="1">
      <alignment horizontal="center" vertical="center"/>
    </xf>
    <xf numFmtId="166" fontId="37" fillId="33" borderId="106" xfId="2" applyFont="1" applyFill="1" applyBorder="1" applyAlignment="1" applyProtection="1">
      <alignment horizontal="center" vertical="center"/>
    </xf>
    <xf numFmtId="166" fontId="43" fillId="13" borderId="76" xfId="2" applyFont="1" applyFill="1" applyBorder="1" applyAlignment="1" applyProtection="1">
      <alignment horizontal="center" vertical="center"/>
    </xf>
    <xf numFmtId="166" fontId="43" fillId="13" borderId="70" xfId="2" applyFont="1" applyFill="1" applyBorder="1" applyAlignment="1" applyProtection="1">
      <alignment horizontal="center" vertical="center"/>
    </xf>
    <xf numFmtId="166" fontId="43" fillId="13" borderId="77" xfId="2" applyFont="1" applyFill="1" applyBorder="1" applyAlignment="1" applyProtection="1">
      <alignment horizontal="center" vertical="center"/>
    </xf>
    <xf numFmtId="166" fontId="66" fillId="13" borderId="1" xfId="2" applyFont="1" applyFill="1" applyBorder="1" applyAlignment="1" applyProtection="1">
      <alignment horizontal="center" vertical="center"/>
    </xf>
    <xf numFmtId="166" fontId="52" fillId="33" borderId="119" xfId="2" applyFont="1" applyFill="1" applyBorder="1" applyAlignment="1" applyProtection="1">
      <alignment horizontal="center" vertical="center"/>
    </xf>
    <xf numFmtId="166" fontId="52" fillId="33" borderId="104" xfId="2" applyFont="1" applyFill="1" applyBorder="1" applyAlignment="1" applyProtection="1">
      <alignment horizontal="center" vertical="center"/>
    </xf>
    <xf numFmtId="166" fontId="52" fillId="33" borderId="106" xfId="2" applyFont="1" applyFill="1" applyBorder="1" applyAlignment="1" applyProtection="1">
      <alignment horizontal="center" vertical="center"/>
    </xf>
    <xf numFmtId="0" fontId="55" fillId="20" borderId="0" xfId="0" applyFont="1" applyFill="1" applyBorder="1" applyAlignment="1" applyProtection="1">
      <alignment horizontal="center" vertical="center"/>
    </xf>
    <xf numFmtId="0" fontId="66" fillId="13" borderId="67" xfId="0" applyFont="1" applyFill="1" applyBorder="1" applyAlignment="1" applyProtection="1">
      <alignment horizontal="center" vertical="center"/>
    </xf>
    <xf numFmtId="0" fontId="66" fillId="13" borderId="70" xfId="0" applyFont="1" applyFill="1" applyBorder="1" applyAlignment="1" applyProtection="1">
      <alignment horizontal="center" vertical="center"/>
    </xf>
    <xf numFmtId="0" fontId="66" fillId="13" borderId="68" xfId="0" applyFont="1" applyFill="1" applyBorder="1" applyAlignment="1" applyProtection="1">
      <alignment horizontal="center" vertical="center"/>
    </xf>
    <xf numFmtId="0" fontId="52" fillId="20" borderId="0" xfId="0" applyFont="1" applyFill="1" applyBorder="1" applyAlignment="1" applyProtection="1">
      <alignment horizontal="center" vertical="center" wrapText="1"/>
    </xf>
    <xf numFmtId="166" fontId="51" fillId="36" borderId="105" xfId="2" applyFont="1" applyFill="1" applyBorder="1" applyAlignment="1" applyProtection="1">
      <alignment horizontal="center" vertical="center"/>
      <protection locked="0"/>
    </xf>
    <xf numFmtId="0" fontId="66" fillId="13" borderId="1" xfId="0" applyFont="1" applyFill="1" applyBorder="1" applyAlignment="1" applyProtection="1">
      <alignment horizontal="center" vertical="center"/>
    </xf>
    <xf numFmtId="166" fontId="66" fillId="13" borderId="67" xfId="2" applyFont="1" applyFill="1" applyBorder="1" applyAlignment="1" applyProtection="1">
      <alignment horizontal="center" vertical="center"/>
    </xf>
    <xf numFmtId="166" fontId="66" fillId="13" borderId="68" xfId="2" applyFont="1" applyFill="1" applyBorder="1" applyAlignment="1" applyProtection="1">
      <alignment horizontal="center" vertical="center"/>
    </xf>
    <xf numFmtId="0" fontId="66" fillId="2" borderId="0" xfId="0" applyFont="1" applyFill="1" applyBorder="1" applyAlignment="1" applyProtection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14" fontId="52" fillId="34" borderId="0" xfId="2" applyNumberFormat="1" applyFont="1" applyFill="1" applyBorder="1" applyAlignment="1" applyProtection="1">
      <alignment horizontal="center" vertical="center"/>
    </xf>
    <xf numFmtId="166" fontId="48" fillId="37" borderId="96" xfId="2" applyFont="1" applyFill="1" applyBorder="1" applyAlignment="1" applyProtection="1">
      <alignment horizontal="center" vertical="center"/>
    </xf>
    <xf numFmtId="166" fontId="48" fillId="37" borderId="97" xfId="2" applyFont="1" applyFill="1" applyBorder="1" applyAlignment="1" applyProtection="1">
      <alignment horizontal="center" vertical="center"/>
    </xf>
    <xf numFmtId="166" fontId="48" fillId="37" borderId="98" xfId="2" applyFont="1" applyFill="1" applyBorder="1" applyAlignment="1" applyProtection="1">
      <alignment horizontal="center" vertical="center"/>
    </xf>
    <xf numFmtId="0" fontId="48" fillId="2" borderId="20" xfId="0" applyFont="1" applyFill="1" applyBorder="1" applyAlignment="1" applyProtection="1">
      <alignment horizontal="center" vertical="center" wrapText="1"/>
    </xf>
    <xf numFmtId="0" fontId="48" fillId="2" borderId="0" xfId="0" applyFont="1" applyFill="1" applyBorder="1" applyAlignment="1" applyProtection="1">
      <alignment horizontal="center" vertical="center" wrapText="1"/>
    </xf>
    <xf numFmtId="0" fontId="48" fillId="36" borderId="100" xfId="0" applyNumberFormat="1" applyFont="1" applyFill="1" applyBorder="1" applyAlignment="1" applyProtection="1">
      <alignment horizontal="center" vertical="center"/>
      <protection locked="0"/>
    </xf>
    <xf numFmtId="0" fontId="49" fillId="13" borderId="1" xfId="0" applyFont="1" applyFill="1" applyBorder="1" applyAlignment="1" applyProtection="1">
      <alignment horizontal="center" vertical="center"/>
    </xf>
    <xf numFmtId="166" fontId="48" fillId="36" borderId="100" xfId="2" applyFont="1" applyFill="1" applyBorder="1" applyAlignment="1" applyProtection="1">
      <alignment horizontal="center" vertical="center"/>
      <protection locked="0"/>
    </xf>
    <xf numFmtId="167" fontId="66" fillId="13" borderId="1" xfId="10" applyFont="1" applyFill="1" applyBorder="1" applyAlignment="1" applyProtection="1">
      <alignment horizontal="center" vertical="center"/>
    </xf>
    <xf numFmtId="166" fontId="48" fillId="36" borderId="0" xfId="2" applyFont="1" applyFill="1" applyBorder="1" applyAlignment="1" applyProtection="1">
      <alignment horizontal="center" vertical="center"/>
      <protection locked="0"/>
    </xf>
    <xf numFmtId="166" fontId="52" fillId="34" borderId="119" xfId="2" applyFont="1" applyFill="1" applyBorder="1" applyAlignment="1" applyProtection="1">
      <alignment horizontal="left" vertical="center"/>
    </xf>
    <xf numFmtId="166" fontId="52" fillId="34" borderId="106" xfId="2" applyFont="1" applyFill="1" applyBorder="1" applyAlignment="1" applyProtection="1">
      <alignment horizontal="left" vertical="center"/>
    </xf>
    <xf numFmtId="0" fontId="44" fillId="0" borderId="0" xfId="0" applyFont="1" applyFill="1" applyBorder="1" applyAlignment="1" applyProtection="1">
      <alignment horizontal="center" vertical="center" wrapText="1"/>
    </xf>
    <xf numFmtId="167" fontId="43" fillId="2" borderId="108" xfId="10" applyFont="1" applyFill="1" applyBorder="1" applyAlignment="1" applyProtection="1">
      <alignment horizontal="center" vertical="center"/>
    </xf>
    <xf numFmtId="167" fontId="43" fillId="2" borderId="73" xfId="10" applyFont="1" applyFill="1" applyBorder="1" applyAlignment="1" applyProtection="1">
      <alignment horizontal="center" vertical="center"/>
    </xf>
    <xf numFmtId="166" fontId="66" fillId="13" borderId="70" xfId="2" applyFont="1" applyFill="1" applyBorder="1" applyAlignment="1" applyProtection="1">
      <alignment horizontal="center" vertical="center"/>
    </xf>
    <xf numFmtId="166" fontId="43" fillId="13" borderId="4" xfId="2" applyFont="1" applyFill="1" applyBorder="1" applyAlignment="1" applyProtection="1">
      <alignment horizontal="center" vertical="center"/>
    </xf>
    <xf numFmtId="166" fontId="43" fillId="13" borderId="6" xfId="2" applyFont="1" applyFill="1" applyBorder="1" applyAlignment="1" applyProtection="1">
      <alignment horizontal="center" vertical="center"/>
    </xf>
    <xf numFmtId="166" fontId="43" fillId="13" borderId="31" xfId="2" applyFont="1" applyFill="1" applyBorder="1" applyAlignment="1" applyProtection="1">
      <alignment horizontal="center" vertical="center"/>
    </xf>
    <xf numFmtId="177" fontId="52" fillId="34" borderId="1" xfId="0" applyNumberFormat="1" applyFont="1" applyFill="1" applyBorder="1" applyAlignment="1" applyProtection="1">
      <alignment horizontal="center" vertical="center"/>
    </xf>
    <xf numFmtId="0" fontId="52" fillId="34" borderId="78" xfId="0" applyFont="1" applyFill="1" applyBorder="1" applyAlignment="1" applyProtection="1">
      <alignment horizontal="center" vertical="center" wrapText="1"/>
    </xf>
    <xf numFmtId="0" fontId="52" fillId="34" borderId="73" xfId="0" applyFont="1" applyFill="1" applyBorder="1" applyAlignment="1" applyProtection="1">
      <alignment horizontal="center" vertical="center" wrapText="1"/>
    </xf>
    <xf numFmtId="0" fontId="52" fillId="34" borderId="74" xfId="0" applyFont="1" applyFill="1" applyBorder="1" applyAlignment="1" applyProtection="1">
      <alignment horizontal="center" vertical="center" wrapText="1"/>
    </xf>
    <xf numFmtId="0" fontId="52" fillId="34" borderId="71" xfId="0" applyFont="1" applyFill="1" applyBorder="1" applyAlignment="1" applyProtection="1">
      <alignment horizontal="center" vertical="center" wrapText="1"/>
    </xf>
    <xf numFmtId="0" fontId="52" fillId="34" borderId="0" xfId="0" applyFont="1" applyFill="1" applyBorder="1" applyAlignment="1" applyProtection="1">
      <alignment horizontal="center" vertical="center" wrapText="1"/>
    </xf>
    <xf numFmtId="0" fontId="52" fillId="34" borderId="41" xfId="0" applyFont="1" applyFill="1" applyBorder="1" applyAlignment="1" applyProtection="1">
      <alignment horizontal="center" vertical="center" wrapText="1"/>
    </xf>
    <xf numFmtId="0" fontId="52" fillId="34" borderId="62" xfId="0" applyFont="1" applyFill="1" applyBorder="1" applyAlignment="1" applyProtection="1">
      <alignment horizontal="center" vertical="center" wrapText="1"/>
    </xf>
    <xf numFmtId="0" fontId="52" fillId="34" borderId="75" xfId="0" applyFont="1" applyFill="1" applyBorder="1" applyAlignment="1" applyProtection="1">
      <alignment horizontal="center" vertical="center" wrapText="1"/>
    </xf>
    <xf numFmtId="0" fontId="52" fillId="34" borderId="64" xfId="0" applyFont="1" applyFill="1" applyBorder="1" applyAlignment="1" applyProtection="1">
      <alignment horizontal="center" vertical="center" wrapText="1"/>
    </xf>
    <xf numFmtId="0" fontId="52" fillId="34" borderId="1" xfId="0" applyFont="1" applyFill="1" applyBorder="1" applyAlignment="1" applyProtection="1">
      <alignment horizontal="center" vertical="center" wrapText="1"/>
    </xf>
    <xf numFmtId="166" fontId="52" fillId="34" borderId="100" xfId="2" applyFont="1" applyFill="1" applyBorder="1" applyAlignment="1" applyProtection="1">
      <alignment horizontal="center" vertical="center"/>
    </xf>
    <xf numFmtId="0" fontId="52" fillId="34" borderId="100" xfId="0" applyFont="1" applyFill="1" applyBorder="1" applyAlignment="1" applyProtection="1">
      <alignment horizontal="center" vertical="center" wrapText="1"/>
    </xf>
    <xf numFmtId="0" fontId="76" fillId="26" borderId="67" xfId="0" applyFont="1" applyFill="1" applyBorder="1" applyAlignment="1" applyProtection="1">
      <alignment horizontal="center" vertical="center"/>
    </xf>
    <xf numFmtId="0" fontId="76" fillId="26" borderId="68" xfId="0" applyFont="1" applyFill="1" applyBorder="1" applyAlignment="1" applyProtection="1">
      <alignment horizontal="center" vertical="center"/>
    </xf>
    <xf numFmtId="177" fontId="52" fillId="34" borderId="1" xfId="2" applyNumberFormat="1" applyFont="1" applyFill="1" applyBorder="1" applyAlignment="1" applyProtection="1">
      <alignment horizontal="center" vertical="center"/>
    </xf>
    <xf numFmtId="0" fontId="69" fillId="28" borderId="71" xfId="0" applyFont="1" applyFill="1" applyBorder="1" applyAlignment="1" applyProtection="1">
      <alignment horizontal="center" vertical="center" wrapText="1"/>
    </xf>
    <xf numFmtId="0" fontId="69" fillId="28" borderId="0" xfId="0" applyFont="1" applyFill="1" applyBorder="1" applyAlignment="1" applyProtection="1">
      <alignment horizontal="center" vertical="center" wrapText="1"/>
    </xf>
    <xf numFmtId="0" fontId="47" fillId="6" borderId="71" xfId="0" applyFont="1" applyFill="1" applyBorder="1" applyAlignment="1" applyProtection="1">
      <alignment horizontal="center" vertical="center" wrapText="1"/>
    </xf>
    <xf numFmtId="0" fontId="47" fillId="6" borderId="0" xfId="0" applyFont="1" applyFill="1" applyBorder="1" applyAlignment="1" applyProtection="1">
      <alignment horizontal="center" vertical="center" wrapText="1"/>
    </xf>
    <xf numFmtId="17" fontId="52" fillId="34" borderId="107" xfId="0" applyNumberFormat="1" applyFont="1" applyFill="1" applyBorder="1" applyAlignment="1" applyProtection="1">
      <alignment horizontal="center" vertical="center"/>
    </xf>
    <xf numFmtId="17" fontId="52" fillId="34" borderId="109" xfId="0" applyNumberFormat="1" applyFont="1" applyFill="1" applyBorder="1" applyAlignment="1" applyProtection="1">
      <alignment horizontal="center" vertical="center"/>
    </xf>
    <xf numFmtId="17" fontId="52" fillId="34" borderId="110" xfId="0" applyNumberFormat="1" applyFont="1" applyFill="1" applyBorder="1" applyAlignment="1" applyProtection="1">
      <alignment horizontal="center" vertical="center"/>
    </xf>
    <xf numFmtId="17" fontId="52" fillId="34" borderId="111" xfId="0" applyNumberFormat="1" applyFont="1" applyFill="1" applyBorder="1" applyAlignment="1" applyProtection="1">
      <alignment horizontal="center" vertical="center"/>
    </xf>
    <xf numFmtId="0" fontId="52" fillId="34" borderId="100" xfId="0" applyFont="1" applyFill="1" applyBorder="1" applyAlignment="1" applyProtection="1">
      <alignment horizontal="center" vertical="center"/>
    </xf>
    <xf numFmtId="166" fontId="76" fillId="27" borderId="67" xfId="2" applyFont="1" applyFill="1" applyBorder="1" applyAlignment="1" applyProtection="1">
      <alignment horizontal="center" vertical="center"/>
    </xf>
    <xf numFmtId="166" fontId="76" fillId="27" borderId="68" xfId="2" applyFont="1" applyFill="1" applyBorder="1" applyAlignment="1" applyProtection="1">
      <alignment horizontal="center" vertical="center"/>
    </xf>
    <xf numFmtId="17" fontId="66" fillId="13" borderId="1" xfId="0" applyNumberFormat="1" applyFont="1" applyFill="1" applyBorder="1" applyAlignment="1" applyProtection="1">
      <alignment horizontal="center" vertical="center"/>
    </xf>
    <xf numFmtId="0" fontId="52" fillId="34" borderId="72" xfId="0" applyFont="1" applyFill="1" applyBorder="1" applyAlignment="1" applyProtection="1">
      <alignment horizontal="center" vertical="center"/>
    </xf>
    <xf numFmtId="0" fontId="52" fillId="34" borderId="78" xfId="0" applyFont="1" applyFill="1" applyBorder="1" applyAlignment="1" applyProtection="1">
      <alignment horizontal="center" vertical="center"/>
    </xf>
    <xf numFmtId="7" fontId="73" fillId="2" borderId="0" xfId="0" applyNumberFormat="1" applyFont="1" applyFill="1" applyBorder="1" applyAlignment="1" applyProtection="1">
      <alignment horizontal="center" vertical="center"/>
    </xf>
    <xf numFmtId="177" fontId="52" fillId="34" borderId="78" xfId="2" applyNumberFormat="1" applyFont="1" applyFill="1" applyBorder="1" applyAlignment="1" applyProtection="1">
      <alignment horizontal="center" vertical="center"/>
    </xf>
    <xf numFmtId="177" fontId="52" fillId="34" borderId="73" xfId="2" applyNumberFormat="1" applyFont="1" applyFill="1" applyBorder="1" applyAlignment="1" applyProtection="1">
      <alignment horizontal="center" vertical="center"/>
    </xf>
    <xf numFmtId="177" fontId="52" fillId="34" borderId="74" xfId="2" applyNumberFormat="1" applyFont="1" applyFill="1" applyBorder="1" applyAlignment="1" applyProtection="1">
      <alignment horizontal="center" vertical="center"/>
    </xf>
    <xf numFmtId="177" fontId="52" fillId="34" borderId="71" xfId="2" applyNumberFormat="1" applyFont="1" applyFill="1" applyBorder="1" applyAlignment="1" applyProtection="1">
      <alignment horizontal="center" vertical="center"/>
    </xf>
    <xf numFmtId="177" fontId="52" fillId="34" borderId="0" xfId="2" applyNumberFormat="1" applyFont="1" applyFill="1" applyBorder="1" applyAlignment="1" applyProtection="1">
      <alignment horizontal="center" vertical="center"/>
    </xf>
    <xf numFmtId="177" fontId="52" fillId="34" borderId="41" xfId="2" applyNumberFormat="1" applyFont="1" applyFill="1" applyBorder="1" applyAlignment="1" applyProtection="1">
      <alignment horizontal="center" vertical="center"/>
    </xf>
    <xf numFmtId="177" fontId="52" fillId="34" borderId="62" xfId="2" applyNumberFormat="1" applyFont="1" applyFill="1" applyBorder="1" applyAlignment="1" applyProtection="1">
      <alignment horizontal="center" vertical="center"/>
    </xf>
    <xf numFmtId="177" fontId="52" fillId="34" borderId="75" xfId="2" applyNumberFormat="1" applyFont="1" applyFill="1" applyBorder="1" applyAlignment="1" applyProtection="1">
      <alignment horizontal="center" vertical="center"/>
    </xf>
    <xf numFmtId="177" fontId="52" fillId="34" borderId="64" xfId="2" applyNumberFormat="1" applyFont="1" applyFill="1" applyBorder="1" applyAlignment="1" applyProtection="1">
      <alignment horizontal="center" vertical="center"/>
    </xf>
    <xf numFmtId="178" fontId="73" fillId="2" borderId="0" xfId="0" applyNumberFormat="1" applyFont="1" applyFill="1" applyBorder="1" applyAlignment="1" applyProtection="1">
      <alignment horizontal="center" vertical="center"/>
    </xf>
    <xf numFmtId="0" fontId="37" fillId="34" borderId="101" xfId="0" applyFont="1" applyFill="1" applyBorder="1" applyAlignment="1" applyProtection="1">
      <alignment horizontal="center" vertical="center" textRotation="255" wrapText="1"/>
    </xf>
    <xf numFmtId="0" fontId="37" fillId="34" borderId="102" xfId="0" applyFont="1" applyFill="1" applyBorder="1" applyAlignment="1" applyProtection="1">
      <alignment horizontal="center" vertical="center" textRotation="255" wrapText="1"/>
    </xf>
    <xf numFmtId="0" fontId="37" fillId="34" borderId="103" xfId="0" applyFont="1" applyFill="1" applyBorder="1" applyAlignment="1" applyProtection="1">
      <alignment horizontal="center" vertical="center" textRotation="255" wrapText="1"/>
    </xf>
    <xf numFmtId="166" fontId="48" fillId="24" borderId="4" xfId="2" applyFont="1" applyFill="1" applyBorder="1" applyAlignment="1" applyProtection="1">
      <alignment horizontal="center" vertical="center"/>
    </xf>
    <xf numFmtId="166" fontId="48" fillId="24" borderId="6" xfId="2" applyFont="1" applyFill="1" applyBorder="1" applyAlignment="1" applyProtection="1">
      <alignment horizontal="center" vertical="center"/>
    </xf>
    <xf numFmtId="166" fontId="48" fillId="24" borderId="31" xfId="2" applyFont="1" applyFill="1" applyBorder="1" applyAlignment="1" applyProtection="1">
      <alignment horizontal="center" vertical="center"/>
    </xf>
    <xf numFmtId="0" fontId="48" fillId="13" borderId="4" xfId="0" applyNumberFormat="1" applyFont="1" applyFill="1" applyBorder="1" applyAlignment="1" applyProtection="1">
      <alignment horizontal="center" vertical="center"/>
    </xf>
    <xf numFmtId="0" fontId="48" fillId="13" borderId="31" xfId="0" applyNumberFormat="1" applyFont="1" applyFill="1" applyBorder="1" applyAlignment="1" applyProtection="1">
      <alignment horizontal="center" vertical="center"/>
    </xf>
    <xf numFmtId="166" fontId="35" fillId="10" borderId="4" xfId="2" applyFont="1" applyFill="1" applyBorder="1" applyAlignment="1" applyProtection="1">
      <alignment horizontal="center" vertical="center"/>
    </xf>
    <xf numFmtId="166" fontId="35" fillId="10" borderId="31" xfId="2" applyFont="1" applyFill="1" applyBorder="1" applyAlignment="1" applyProtection="1">
      <alignment horizontal="center" vertical="center"/>
    </xf>
    <xf numFmtId="0" fontId="35" fillId="26" borderId="4" xfId="0" applyFont="1" applyFill="1" applyBorder="1" applyAlignment="1" applyProtection="1">
      <alignment horizontal="center" vertical="center"/>
    </xf>
    <xf numFmtId="0" fontId="35" fillId="26" borderId="31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53" fillId="2" borderId="0" xfId="0" applyFont="1" applyFill="1" applyAlignment="1" applyProtection="1">
      <alignment horizontal="center" vertical="center"/>
    </xf>
    <xf numFmtId="0" fontId="33" fillId="2" borderId="115" xfId="0" applyFont="1" applyFill="1" applyBorder="1" applyAlignment="1" applyProtection="1">
      <alignment horizontal="center" vertical="center"/>
    </xf>
    <xf numFmtId="166" fontId="48" fillId="30" borderId="78" xfId="2" applyFont="1" applyFill="1" applyBorder="1" applyAlignment="1" applyProtection="1">
      <alignment horizontal="center" vertical="center" wrapText="1"/>
    </xf>
    <xf numFmtId="166" fontId="48" fillId="30" borderId="68" xfId="2" applyFont="1" applyFill="1" applyBorder="1" applyAlignment="1" applyProtection="1">
      <alignment horizontal="center" vertical="center" wrapText="1"/>
    </xf>
    <xf numFmtId="0" fontId="48" fillId="30" borderId="3" xfId="0" applyFont="1" applyFill="1" applyBorder="1" applyAlignment="1" applyProtection="1">
      <alignment horizontal="center" vertical="center" wrapText="1"/>
    </xf>
    <xf numFmtId="0" fontId="56" fillId="2" borderId="0" xfId="0" applyFont="1" applyFill="1" applyBorder="1" applyAlignment="1" applyProtection="1">
      <alignment horizontal="center" vertical="center"/>
    </xf>
    <xf numFmtId="0" fontId="56" fillId="2" borderId="73" xfId="0" applyFont="1" applyFill="1" applyBorder="1" applyAlignment="1" applyProtection="1">
      <alignment horizontal="center" vertical="center"/>
    </xf>
    <xf numFmtId="178" fontId="52" fillId="34" borderId="78" xfId="0" applyNumberFormat="1" applyFont="1" applyFill="1" applyBorder="1" applyAlignment="1" applyProtection="1">
      <alignment horizontal="center" vertical="center"/>
    </xf>
    <xf numFmtId="178" fontId="52" fillId="34" borderId="73" xfId="0" applyNumberFormat="1" applyFont="1" applyFill="1" applyBorder="1" applyAlignment="1" applyProtection="1">
      <alignment horizontal="center" vertical="center"/>
    </xf>
    <xf numFmtId="178" fontId="52" fillId="34" borderId="74" xfId="0" applyNumberFormat="1" applyFont="1" applyFill="1" applyBorder="1" applyAlignment="1" applyProtection="1">
      <alignment horizontal="center" vertical="center"/>
    </xf>
    <xf numFmtId="178" fontId="52" fillId="34" borderId="71" xfId="0" applyNumberFormat="1" applyFont="1" applyFill="1" applyBorder="1" applyAlignment="1" applyProtection="1">
      <alignment horizontal="center" vertical="center"/>
    </xf>
    <xf numFmtId="178" fontId="52" fillId="34" borderId="0" xfId="0" applyNumberFormat="1" applyFont="1" applyFill="1" applyBorder="1" applyAlignment="1" applyProtection="1">
      <alignment horizontal="center" vertical="center"/>
    </xf>
    <xf numFmtId="178" fontId="52" fillId="34" borderId="41" xfId="0" applyNumberFormat="1" applyFont="1" applyFill="1" applyBorder="1" applyAlignment="1" applyProtection="1">
      <alignment horizontal="center" vertical="center"/>
    </xf>
    <xf numFmtId="178" fontId="52" fillId="34" borderId="62" xfId="0" applyNumberFormat="1" applyFont="1" applyFill="1" applyBorder="1" applyAlignment="1" applyProtection="1">
      <alignment horizontal="center" vertical="center"/>
    </xf>
    <xf numFmtId="178" fontId="52" fillId="34" borderId="75" xfId="0" applyNumberFormat="1" applyFont="1" applyFill="1" applyBorder="1" applyAlignment="1" applyProtection="1">
      <alignment horizontal="center" vertical="center"/>
    </xf>
    <xf numFmtId="178" fontId="52" fillId="34" borderId="64" xfId="0" applyNumberFormat="1" applyFont="1" applyFill="1" applyBorder="1" applyAlignment="1" applyProtection="1">
      <alignment horizontal="center" vertical="center"/>
    </xf>
    <xf numFmtId="0" fontId="52" fillId="34" borderId="1" xfId="0" applyFont="1" applyFill="1" applyBorder="1" applyAlignment="1" applyProtection="1">
      <alignment horizontal="center" vertical="center"/>
    </xf>
    <xf numFmtId="0" fontId="52" fillId="34" borderId="67" xfId="0" applyFont="1" applyFill="1" applyBorder="1" applyAlignment="1" applyProtection="1">
      <alignment horizontal="center" vertical="center"/>
    </xf>
    <xf numFmtId="166" fontId="52" fillId="34" borderId="3" xfId="2" applyNumberFormat="1" applyFont="1" applyFill="1" applyBorder="1" applyAlignment="1" applyProtection="1">
      <alignment horizontal="center" vertical="center"/>
    </xf>
    <xf numFmtId="17" fontId="48" fillId="25" borderId="107" xfId="0" applyNumberFormat="1" applyFont="1" applyFill="1" applyBorder="1" applyAlignment="1" applyProtection="1">
      <alignment horizontal="center" vertical="center"/>
    </xf>
    <xf numFmtId="17" fontId="48" fillId="25" borderId="109" xfId="0" applyNumberFormat="1" applyFont="1" applyFill="1" applyBorder="1" applyAlignment="1" applyProtection="1">
      <alignment horizontal="center" vertical="center"/>
    </xf>
    <xf numFmtId="0" fontId="52" fillId="20" borderId="0" xfId="0" applyFont="1" applyFill="1" applyBorder="1" applyAlignment="1" applyProtection="1">
      <alignment horizontal="center" vertical="center"/>
    </xf>
    <xf numFmtId="10" fontId="94" fillId="36" borderId="119" xfId="4" applyNumberFormat="1" applyFont="1" applyFill="1" applyBorder="1" applyAlignment="1" applyProtection="1">
      <alignment horizontal="center" vertical="center"/>
    </xf>
    <xf numFmtId="10" fontId="94" fillId="36" borderId="106" xfId="4" applyNumberFormat="1" applyFont="1" applyFill="1" applyBorder="1" applyAlignment="1" applyProtection="1">
      <alignment horizontal="center" vertical="center"/>
    </xf>
    <xf numFmtId="0" fontId="33" fillId="2" borderId="0" xfId="0" applyFont="1" applyFill="1" applyBorder="1" applyAlignment="1" applyProtection="1">
      <alignment horizontal="center" vertical="center" wrapText="1"/>
    </xf>
    <xf numFmtId="167" fontId="48" fillId="2" borderId="0" xfId="10" applyFont="1" applyFill="1" applyBorder="1" applyAlignment="1" applyProtection="1">
      <alignment horizontal="center" vertical="center" wrapText="1"/>
    </xf>
    <xf numFmtId="17" fontId="48" fillId="0" borderId="0" xfId="0" applyNumberFormat="1" applyFont="1" applyFill="1" applyBorder="1" applyAlignment="1" applyProtection="1">
      <alignment horizontal="center" vertical="center"/>
    </xf>
    <xf numFmtId="17" fontId="52" fillId="34" borderId="100" xfId="0" applyNumberFormat="1" applyFont="1" applyFill="1" applyBorder="1" applyAlignment="1" applyProtection="1">
      <alignment horizontal="center" vertical="center"/>
    </xf>
    <xf numFmtId="0" fontId="66" fillId="13" borderId="68" xfId="0" applyNumberFormat="1" applyFont="1" applyFill="1" applyBorder="1" applyAlignment="1" applyProtection="1">
      <alignment horizontal="center" vertical="center"/>
    </xf>
    <xf numFmtId="0" fontId="66" fillId="13" borderId="1" xfId="0" applyNumberFormat="1" applyFont="1" applyFill="1" applyBorder="1" applyAlignment="1" applyProtection="1">
      <alignment horizontal="center" vertical="center"/>
    </xf>
    <xf numFmtId="0" fontId="83" fillId="22" borderId="0" xfId="0" applyFont="1" applyFill="1" applyBorder="1" applyAlignment="1" applyProtection="1">
      <alignment horizontal="center" vertical="center"/>
    </xf>
    <xf numFmtId="0" fontId="91" fillId="0" borderId="0" xfId="0" applyFont="1" applyFill="1" applyBorder="1" applyAlignment="1" applyProtection="1">
      <alignment horizontal="left" vertical="center"/>
    </xf>
    <xf numFmtId="0" fontId="91" fillId="0" borderId="112" xfId="0" applyFont="1" applyFill="1" applyBorder="1" applyAlignment="1" applyProtection="1">
      <alignment horizontal="left" vertical="center"/>
    </xf>
    <xf numFmtId="0" fontId="92" fillId="6" borderId="0" xfId="0" applyFont="1" applyFill="1" applyBorder="1" applyAlignment="1" applyProtection="1">
      <alignment horizontal="center" vertical="center" wrapText="1"/>
    </xf>
    <xf numFmtId="0" fontId="52" fillId="34" borderId="100" xfId="0" applyNumberFormat="1" applyFont="1" applyFill="1" applyBorder="1" applyAlignment="1" applyProtection="1">
      <alignment horizontal="center" vertical="center"/>
    </xf>
    <xf numFmtId="0" fontId="69" fillId="0" borderId="23" xfId="0" applyFont="1" applyFill="1" applyBorder="1" applyAlignment="1" applyProtection="1">
      <alignment horizontal="center" vertical="center" wrapText="1"/>
    </xf>
    <xf numFmtId="0" fontId="69" fillId="0" borderId="0" xfId="0" applyFont="1" applyFill="1" applyBorder="1" applyAlignment="1" applyProtection="1">
      <alignment horizontal="center" vertical="center" wrapText="1"/>
    </xf>
    <xf numFmtId="0" fontId="92" fillId="0" borderId="0" xfId="0" applyFont="1" applyFill="1" applyBorder="1" applyAlignment="1" applyProtection="1">
      <alignment horizontal="center" vertical="center" wrapText="1"/>
    </xf>
    <xf numFmtId="17" fontId="48" fillId="36" borderId="119" xfId="0" applyNumberFormat="1" applyFont="1" applyFill="1" applyBorder="1" applyAlignment="1" applyProtection="1">
      <alignment horizontal="center" vertical="center"/>
      <protection locked="0"/>
    </xf>
    <xf numFmtId="17" fontId="48" fillId="36" borderId="106" xfId="0" applyNumberFormat="1" applyFont="1" applyFill="1" applyBorder="1" applyAlignment="1" applyProtection="1">
      <alignment horizontal="center" vertical="center"/>
      <protection locked="0"/>
    </xf>
    <xf numFmtId="0" fontId="86" fillId="13" borderId="1" xfId="0" applyFont="1" applyFill="1" applyBorder="1" applyAlignment="1" applyProtection="1">
      <alignment horizontal="center" vertical="center"/>
    </xf>
    <xf numFmtId="0" fontId="52" fillId="34" borderId="69" xfId="0" applyFont="1" applyFill="1" applyBorder="1" applyAlignment="1" applyProtection="1">
      <alignment horizontal="center" vertical="center" textRotation="255" wrapText="1"/>
    </xf>
    <xf numFmtId="0" fontId="52" fillId="34" borderId="7" xfId="0" applyFont="1" applyFill="1" applyBorder="1" applyAlignment="1" applyProtection="1">
      <alignment horizontal="center" vertical="center" textRotation="255" wrapText="1"/>
    </xf>
    <xf numFmtId="166" fontId="48" fillId="37" borderId="0" xfId="2" applyFont="1" applyFill="1" applyBorder="1" applyAlignment="1" applyProtection="1">
      <alignment horizontal="center" vertical="center"/>
      <protection locked="0"/>
    </xf>
    <xf numFmtId="184" fontId="52" fillId="34" borderId="0" xfId="2" applyNumberFormat="1" applyFont="1" applyFill="1" applyBorder="1" applyAlignment="1" applyProtection="1">
      <alignment horizontal="center" vertical="center"/>
    </xf>
    <xf numFmtId="166" fontId="84" fillId="33" borderId="107" xfId="2" applyFont="1" applyFill="1" applyBorder="1" applyAlignment="1" applyProtection="1">
      <alignment horizontal="center" vertical="center"/>
    </xf>
    <xf numFmtId="166" fontId="84" fillId="33" borderId="99" xfId="2" applyFont="1" applyFill="1" applyBorder="1" applyAlignment="1" applyProtection="1">
      <alignment horizontal="center" vertical="center"/>
    </xf>
    <xf numFmtId="166" fontId="84" fillId="33" borderId="109" xfId="2" applyFont="1" applyFill="1" applyBorder="1" applyAlignment="1" applyProtection="1">
      <alignment horizontal="center" vertical="center"/>
    </xf>
    <xf numFmtId="166" fontId="84" fillId="33" borderId="119" xfId="2" applyFont="1" applyFill="1" applyBorder="1" applyAlignment="1" applyProtection="1">
      <alignment horizontal="center" vertical="center"/>
    </xf>
    <xf numFmtId="166" fontId="84" fillId="33" borderId="104" xfId="2" applyFont="1" applyFill="1" applyBorder="1" applyAlignment="1" applyProtection="1">
      <alignment horizontal="center" vertical="center"/>
    </xf>
    <xf numFmtId="166" fontId="84" fillId="33" borderId="106" xfId="2" applyFont="1" applyFill="1" applyBorder="1" applyAlignment="1" applyProtection="1">
      <alignment horizontal="center" vertical="center"/>
    </xf>
    <xf numFmtId="166" fontId="52" fillId="33" borderId="110" xfId="2" applyFont="1" applyFill="1" applyBorder="1" applyAlignment="1" applyProtection="1">
      <alignment horizontal="center" vertical="center"/>
    </xf>
    <xf numFmtId="166" fontId="52" fillId="33" borderId="105" xfId="2" applyFont="1" applyFill="1" applyBorder="1" applyAlignment="1" applyProtection="1">
      <alignment horizontal="center" vertical="center"/>
    </xf>
    <xf numFmtId="166" fontId="48" fillId="36" borderId="104" xfId="2" applyFont="1" applyFill="1" applyBorder="1" applyAlignment="1" applyProtection="1">
      <alignment horizontal="center" vertical="center"/>
      <protection locked="0"/>
    </xf>
    <xf numFmtId="17" fontId="48" fillId="13" borderId="4" xfId="0" applyNumberFormat="1" applyFont="1" applyFill="1" applyBorder="1" applyAlignment="1" applyProtection="1">
      <alignment horizontal="center" vertical="center"/>
    </xf>
    <xf numFmtId="17" fontId="48" fillId="13" borderId="31" xfId="0" applyNumberFormat="1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167" fontId="2" fillId="7" borderId="4" xfId="10" applyFont="1" applyFill="1" applyBorder="1" applyAlignment="1" applyProtection="1">
      <alignment horizontal="center" vertical="center"/>
    </xf>
    <xf numFmtId="167" fontId="2" fillId="7" borderId="31" xfId="10" applyFont="1" applyFill="1" applyBorder="1" applyAlignment="1" applyProtection="1">
      <alignment horizontal="center" vertical="center"/>
    </xf>
    <xf numFmtId="0" fontId="4" fillId="5" borderId="15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168" fontId="0" fillId="5" borderId="19" xfId="10" applyNumberFormat="1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90" xfId="0" applyBorder="1" applyAlignment="1" applyProtection="1">
      <alignment horizontal="center" vertical="center" wrapText="1"/>
    </xf>
    <xf numFmtId="0" fontId="0" fillId="0" borderId="91" xfId="0" applyBorder="1" applyAlignment="1" applyProtection="1">
      <alignment horizontal="center" vertical="center" wrapText="1"/>
    </xf>
    <xf numFmtId="10" fontId="4" fillId="0" borderId="15" xfId="0" applyNumberFormat="1" applyFont="1" applyBorder="1" applyAlignment="1" applyProtection="1">
      <alignment horizontal="center" vertical="center" wrapText="1"/>
    </xf>
    <xf numFmtId="10" fontId="4" fillId="0" borderId="69" xfId="0" applyNumberFormat="1" applyFont="1" applyBorder="1" applyAlignment="1" applyProtection="1">
      <alignment horizontal="center" vertical="center" wrapText="1"/>
    </xf>
    <xf numFmtId="10" fontId="4" fillId="0" borderId="7" xfId="0" applyNumberFormat="1" applyFont="1" applyBorder="1" applyAlignment="1" applyProtection="1">
      <alignment horizontal="center" vertical="center" wrapText="1"/>
    </xf>
    <xf numFmtId="0" fontId="15" fillId="8" borderId="3" xfId="0" applyFont="1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87" xfId="0" applyBorder="1" applyAlignment="1" applyProtection="1">
      <alignment horizontal="center" vertical="center" wrapText="1"/>
    </xf>
    <xf numFmtId="168" fontId="5" fillId="5" borderId="88" xfId="10" applyNumberFormat="1" applyFont="1" applyFill="1" applyBorder="1" applyAlignment="1" applyProtection="1">
      <alignment horizontal="center" vertical="center" wrapText="1"/>
    </xf>
    <xf numFmtId="168" fontId="5" fillId="5" borderId="89" xfId="10" applyNumberFormat="1" applyFont="1" applyFill="1" applyBorder="1" applyAlignment="1" applyProtection="1">
      <alignment horizontal="center" vertical="center" wrapText="1"/>
    </xf>
    <xf numFmtId="2" fontId="0" fillId="0" borderId="4" xfId="0" applyNumberFormat="1" applyBorder="1" applyAlignment="1" applyProtection="1">
      <alignment horizontal="center" vertical="center" wrapText="1"/>
    </xf>
    <xf numFmtId="2" fontId="0" fillId="0" borderId="31" xfId="0" applyNumberFormat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31" xfId="0" applyFont="1" applyFill="1" applyBorder="1" applyAlignment="1" applyProtection="1">
      <alignment horizontal="center" vertical="center" wrapText="1"/>
    </xf>
    <xf numFmtId="0" fontId="4" fillId="0" borderId="59" xfId="0" applyFont="1" applyBorder="1" applyAlignment="1" applyProtection="1">
      <alignment horizontal="center"/>
      <protection hidden="1"/>
    </xf>
    <xf numFmtId="0" fontId="4" fillId="0" borderId="57" xfId="0" applyFont="1" applyBorder="1" applyAlignment="1" applyProtection="1">
      <alignment horizontal="center"/>
      <protection hidden="1"/>
    </xf>
    <xf numFmtId="0" fontId="0" fillId="0" borderId="42" xfId="0" applyBorder="1" applyAlignment="1" applyProtection="1">
      <alignment horizontal="center"/>
      <protection hidden="1"/>
    </xf>
    <xf numFmtId="0" fontId="0" fillId="0" borderId="43" xfId="0" applyBorder="1" applyAlignment="1" applyProtection="1">
      <alignment horizontal="center"/>
      <protection hidden="1"/>
    </xf>
    <xf numFmtId="0" fontId="0" fillId="0" borderId="44" xfId="0" applyBorder="1" applyAlignment="1" applyProtection="1">
      <alignment horizontal="center"/>
      <protection hidden="1"/>
    </xf>
    <xf numFmtId="0" fontId="0" fillId="0" borderId="47" xfId="0" applyBorder="1" applyAlignment="1" applyProtection="1">
      <alignment horizontal="center"/>
      <protection hidden="1"/>
    </xf>
    <xf numFmtId="0" fontId="0" fillId="0" borderId="48" xfId="0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/>
      <protection hidden="1"/>
    </xf>
    <xf numFmtId="0" fontId="0" fillId="0" borderId="58" xfId="0" applyBorder="1" applyAlignment="1" applyProtection="1">
      <alignment horizontal="left"/>
      <protection hidden="1"/>
    </xf>
    <xf numFmtId="0" fontId="0" fillId="0" borderId="57" xfId="0" applyBorder="1" applyAlignment="1" applyProtection="1">
      <alignment horizontal="left"/>
      <protection hidden="1"/>
    </xf>
    <xf numFmtId="0" fontId="11" fillId="0" borderId="58" xfId="0" applyFont="1" applyBorder="1" applyAlignment="1" applyProtection="1">
      <alignment horizontal="center"/>
      <protection hidden="1"/>
    </xf>
    <xf numFmtId="0" fontId="11" fillId="0" borderId="59" xfId="0" applyFont="1" applyBorder="1" applyAlignment="1" applyProtection="1">
      <alignment horizontal="center"/>
      <protection hidden="1"/>
    </xf>
    <xf numFmtId="0" fontId="11" fillId="0" borderId="57" xfId="0" applyFont="1" applyBorder="1" applyAlignment="1" applyProtection="1">
      <alignment horizontal="center"/>
      <protection hidden="1"/>
    </xf>
    <xf numFmtId="0" fontId="4" fillId="0" borderId="58" xfId="0" applyFont="1" applyBorder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4" fillId="0" borderId="23" xfId="0" applyFont="1" applyBorder="1" applyAlignment="1" applyProtection="1">
      <alignment horizontal="center" vertical="justify"/>
      <protection hidden="1"/>
    </xf>
    <xf numFmtId="0" fontId="14" fillId="0" borderId="17" xfId="0" applyFont="1" applyBorder="1" applyAlignment="1" applyProtection="1">
      <alignment horizontal="center" vertical="justify"/>
      <protection hidden="1"/>
    </xf>
    <xf numFmtId="0" fontId="4" fillId="0" borderId="50" xfId="0" applyFont="1" applyBorder="1" applyAlignment="1" applyProtection="1">
      <alignment horizontal="center" vertical="center"/>
      <protection hidden="1"/>
    </xf>
    <xf numFmtId="0" fontId="4" fillId="0" borderId="51" xfId="0" applyFont="1" applyBorder="1" applyAlignment="1" applyProtection="1">
      <alignment horizontal="center" vertical="center"/>
      <protection hidden="1"/>
    </xf>
    <xf numFmtId="0" fontId="14" fillId="0" borderId="45" xfId="0" applyFont="1" applyBorder="1" applyAlignment="1" applyProtection="1">
      <alignment horizontal="center" vertical="justify"/>
      <protection hidden="1"/>
    </xf>
    <xf numFmtId="0" fontId="14" fillId="0" borderId="94" xfId="0" applyFont="1" applyBorder="1" applyAlignment="1" applyProtection="1">
      <alignment horizontal="center" vertical="justify"/>
      <protection hidden="1"/>
    </xf>
    <xf numFmtId="22" fontId="12" fillId="0" borderId="0" xfId="0" applyNumberFormat="1" applyFont="1" applyAlignment="1" applyProtection="1">
      <alignment horizontal="center"/>
      <protection hidden="1"/>
    </xf>
    <xf numFmtId="22" fontId="11" fillId="0" borderId="43" xfId="0" applyNumberFormat="1" applyFont="1" applyBorder="1" applyAlignment="1" applyProtection="1">
      <alignment horizontal="center"/>
      <protection hidden="1"/>
    </xf>
    <xf numFmtId="22" fontId="11" fillId="0" borderId="44" xfId="0" applyNumberFormat="1" applyFont="1" applyBorder="1" applyAlignment="1" applyProtection="1">
      <alignment horizontal="center"/>
      <protection hidden="1"/>
    </xf>
    <xf numFmtId="0" fontId="4" fillId="0" borderId="93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53" xfId="0" applyFont="1" applyBorder="1" applyAlignment="1" applyProtection="1">
      <alignment horizontal="center"/>
      <protection hidden="1"/>
    </xf>
    <xf numFmtId="0" fontId="4" fillId="0" borderId="92" xfId="0" applyFont="1" applyBorder="1" applyAlignment="1" applyProtection="1">
      <alignment horizontal="center"/>
      <protection hidden="1"/>
    </xf>
    <xf numFmtId="0" fontId="4" fillId="0" borderId="54" xfId="0" applyFont="1" applyBorder="1" applyAlignment="1" applyProtection="1">
      <alignment horizontal="center"/>
      <protection hidden="1"/>
    </xf>
    <xf numFmtId="0" fontId="5" fillId="0" borderId="58" xfId="0" applyFont="1" applyBorder="1" applyAlignment="1" applyProtection="1">
      <alignment horizontal="center"/>
      <protection hidden="1"/>
    </xf>
    <xf numFmtId="0" fontId="5" fillId="0" borderId="59" xfId="0" applyFont="1" applyBorder="1" applyAlignment="1" applyProtection="1">
      <alignment horizontal="center"/>
      <protection hidden="1"/>
    </xf>
    <xf numFmtId="173" fontId="5" fillId="0" borderId="59" xfId="0" applyNumberFormat="1" applyFont="1" applyBorder="1" applyAlignment="1" applyProtection="1">
      <alignment horizontal="center"/>
      <protection hidden="1"/>
    </xf>
    <xf numFmtId="0" fontId="5" fillId="0" borderId="57" xfId="0" applyFont="1" applyBorder="1" applyAlignment="1" applyProtection="1">
      <alignment horizontal="center"/>
      <protection hidden="1"/>
    </xf>
    <xf numFmtId="14" fontId="0" fillId="0" borderId="42" xfId="0" applyNumberFormat="1" applyFill="1" applyBorder="1" applyAlignment="1" applyProtection="1">
      <alignment horizontal="center" vertical="center"/>
      <protection hidden="1"/>
    </xf>
    <xf numFmtId="0" fontId="0" fillId="0" borderId="43" xfId="0" applyBorder="1" applyProtection="1">
      <protection hidden="1"/>
    </xf>
    <xf numFmtId="0" fontId="0" fillId="0" borderId="44" xfId="0" applyBorder="1" applyProtection="1">
      <protection hidden="1"/>
    </xf>
    <xf numFmtId="0" fontId="0" fillId="0" borderId="45" xfId="0" applyBorder="1" applyProtection="1">
      <protection hidden="1"/>
    </xf>
    <xf numFmtId="0" fontId="0" fillId="0" borderId="0" xfId="0" applyProtection="1">
      <protection hidden="1"/>
    </xf>
    <xf numFmtId="0" fontId="0" fillId="0" borderId="46" xfId="0" applyBorder="1" applyProtection="1">
      <protection hidden="1"/>
    </xf>
    <xf numFmtId="0" fontId="0" fillId="0" borderId="47" xfId="0" applyBorder="1" applyProtection="1">
      <protection hidden="1"/>
    </xf>
    <xf numFmtId="0" fontId="0" fillId="0" borderId="48" xfId="0" applyBorder="1" applyProtection="1">
      <protection hidden="1"/>
    </xf>
    <xf numFmtId="0" fontId="0" fillId="0" borderId="49" xfId="0" applyBorder="1" applyProtection="1">
      <protection hidden="1"/>
    </xf>
    <xf numFmtId="0" fontId="5" fillId="0" borderId="58" xfId="0" applyFont="1" applyBorder="1" applyAlignment="1" applyProtection="1">
      <alignment horizontal="left"/>
      <protection hidden="1"/>
    </xf>
    <xf numFmtId="0" fontId="5" fillId="0" borderId="59" xfId="0" applyFont="1" applyBorder="1" applyAlignment="1" applyProtection="1">
      <alignment horizontal="left"/>
      <protection hidden="1"/>
    </xf>
    <xf numFmtId="0" fontId="27" fillId="12" borderId="8" xfId="0" applyFont="1" applyFill="1" applyBorder="1" applyAlignment="1">
      <alignment horizontal="center" vertical="center"/>
    </xf>
    <xf numFmtId="0" fontId="27" fillId="12" borderId="0" xfId="0" applyFont="1" applyFill="1" applyBorder="1" applyAlignment="1">
      <alignment horizontal="center" vertical="center"/>
    </xf>
    <xf numFmtId="0" fontId="4" fillId="16" borderId="15" xfId="0" applyFont="1" applyFill="1" applyBorder="1" applyAlignment="1">
      <alignment horizontal="center" vertical="center"/>
    </xf>
    <xf numFmtId="0" fontId="4" fillId="16" borderId="69" xfId="0" applyFont="1" applyFill="1" applyBorder="1" applyAlignment="1">
      <alignment horizontal="center" vertical="center"/>
    </xf>
    <xf numFmtId="0" fontId="4" fillId="16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67" fontId="0" fillId="11" borderId="5" xfId="10" applyFont="1" applyFill="1" applyBorder="1" applyAlignment="1">
      <alignment vertical="center"/>
    </xf>
    <xf numFmtId="0" fontId="0" fillId="0" borderId="6" xfId="0" applyBorder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7" fontId="0" fillId="0" borderId="5" xfId="10" applyFont="1" applyBorder="1" applyAlignment="1">
      <alignment vertical="center"/>
    </xf>
    <xf numFmtId="167" fontId="0" fillId="0" borderId="6" xfId="10" applyFont="1" applyBorder="1" applyAlignment="1">
      <alignment vertical="center"/>
    </xf>
    <xf numFmtId="167" fontId="0" fillId="0" borderId="9" xfId="10" applyFont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82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4" fontId="96" fillId="0" borderId="0" xfId="0" applyNumberFormat="1" applyFont="1" applyAlignment="1">
      <alignment vertical="center"/>
    </xf>
  </cellXfs>
  <cellStyles count="13">
    <cellStyle name="Euro" xfId="1"/>
    <cellStyle name="Moeda" xfId="2" builtinId="4"/>
    <cellStyle name="Moeda 2" xfId="12"/>
    <cellStyle name="Normal" xfId="0" builtinId="0"/>
    <cellStyle name="Normal 2" xfId="3"/>
    <cellStyle name="Porcentagem" xfId="4" builtinId="5"/>
    <cellStyle name="Porcentagem 2" xfId="5"/>
    <cellStyle name="Separador de milhares 2" xfId="6"/>
    <cellStyle name="Separador de milhares_Matriz pv" xfId="7"/>
    <cellStyle name="Separador de milhares_PV das tabelas (version 2)" xfId="8"/>
    <cellStyle name="Total" xfId="9" builtinId="25" customBuiltin="1"/>
    <cellStyle name="Vírgula" xfId="10" builtinId="3"/>
    <cellStyle name="Vírgula 2" xfId="11"/>
  </cellStyles>
  <dxfs count="21"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theme="8" tint="-0.24994659260841701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22"/>
      </font>
      <fill>
        <patternFill>
          <bgColor indexed="16"/>
        </patternFill>
      </fill>
    </dxf>
    <dxf>
      <font>
        <b/>
        <i val="0"/>
        <color rgb="FFFF0000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FFF"/>
      <rgbColor rgb="00808080"/>
      <rgbColor rgb="00F0E0D0"/>
      <rgbColor rgb="00BDDEFF"/>
      <rgbColor rgb="00DADAE6"/>
      <rgbColor rgb="00ECECEC"/>
      <rgbColor rgb="00BCBCD2"/>
      <rgbColor rgb="00FEFAA0"/>
      <rgbColor rgb="000066CC"/>
      <rgbColor rgb="00DDDD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4B4B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ADC00"/>
      <color rgb="FF990099"/>
      <color rgb="FFB3FFFF"/>
      <color rgb="FF66FFFF"/>
      <color rgb="FFEFFDFF"/>
      <color rgb="FF00FFFF"/>
      <color rgb="FFCC0099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515937</xdr:colOff>
      <xdr:row>1</xdr:row>
      <xdr:rowOff>236780</xdr:rowOff>
    </xdr:from>
    <xdr:to>
      <xdr:col>3</xdr:col>
      <xdr:colOff>2595563</xdr:colOff>
      <xdr:row>7</xdr:row>
      <xdr:rowOff>459045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9062" y="522530"/>
          <a:ext cx="2079626" cy="2293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</xdr:row>
          <xdr:rowOff>76200</xdr:rowOff>
        </xdr:from>
        <xdr:to>
          <xdr:col>14</xdr:col>
          <xdr:colOff>571500</xdr:colOff>
          <xdr:row>5</xdr:row>
          <xdr:rowOff>47625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t-BR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Estudo</a:t>
              </a:r>
            </a:p>
            <a:p>
              <a:pPr algn="ctr" rtl="0">
                <a:defRPr sz="1000"/>
              </a:pPr>
              <a:r>
                <a:rPr lang="pt-B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Ctrl + Shift + C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5</xdr:row>
          <xdr:rowOff>152400</xdr:rowOff>
        </xdr:from>
        <xdr:to>
          <xdr:col>14</xdr:col>
          <xdr:colOff>561975</xdr:colOff>
          <xdr:row>7</xdr:row>
          <xdr:rowOff>142875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t-BR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Completo</a:t>
              </a:r>
            </a:p>
            <a:p>
              <a:pPr algn="ctr" rtl="0">
                <a:defRPr sz="1000"/>
              </a:pPr>
              <a:r>
                <a:rPr lang="pt-B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Ctrl + Shift + P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  <pageSetUpPr fitToPage="1"/>
  </sheetPr>
  <dimension ref="A1:CI791"/>
  <sheetViews>
    <sheetView showGridLines="0" tabSelected="1" showOutlineSymbols="0" topLeftCell="A28" zoomScale="40" zoomScaleNormal="40" zoomScaleSheetLayoutView="55" workbookViewId="0">
      <selection activeCell="F80" sqref="F80:G80"/>
    </sheetView>
  </sheetViews>
  <sheetFormatPr defaultColWidth="0" defaultRowHeight="12.75" zeroHeight="1" x14ac:dyDescent="0.2"/>
  <cols>
    <col min="1" max="2" width="10.7109375" style="384" customWidth="1"/>
    <col min="3" max="3" width="10.85546875" style="384" customWidth="1"/>
    <col min="4" max="4" width="81.42578125" style="384" customWidth="1"/>
    <col min="5" max="5" width="20.5703125" style="384" customWidth="1"/>
    <col min="6" max="6" width="16.85546875" style="384" customWidth="1"/>
    <col min="7" max="7" width="41.28515625" style="384" bestFit="1" customWidth="1"/>
    <col min="8" max="8" width="31.5703125" style="384" customWidth="1"/>
    <col min="9" max="9" width="16.42578125" style="384" customWidth="1"/>
    <col min="10" max="10" width="14" style="384" customWidth="1"/>
    <col min="11" max="11" width="20.5703125" style="384" customWidth="1"/>
    <col min="12" max="12" width="51.85546875" style="384" bestFit="1" customWidth="1"/>
    <col min="13" max="13" width="9.28515625" style="384" customWidth="1"/>
    <col min="14" max="14" width="10.85546875" style="384" customWidth="1"/>
    <col min="15" max="15" width="19.140625" style="384" customWidth="1"/>
    <col min="16" max="16" width="3.140625" style="384" customWidth="1"/>
    <col min="17" max="17" width="20.140625" style="384" customWidth="1"/>
    <col min="18" max="18" width="13.7109375" style="384" customWidth="1"/>
    <col min="19" max="19" width="30.140625" style="384" customWidth="1"/>
    <col min="20" max="20" width="1.85546875" style="384" customWidth="1"/>
    <col min="21" max="21" width="2.42578125" style="384" customWidth="1"/>
    <col min="22" max="22" width="10.28515625" style="384" customWidth="1"/>
    <col min="23" max="23" width="23.85546875" style="384" hidden="1" customWidth="1"/>
    <col min="24" max="24" width="23.7109375" style="384" hidden="1" customWidth="1"/>
    <col min="25" max="25" width="5.42578125" style="384" hidden="1" customWidth="1"/>
    <col min="26" max="26" width="35.85546875" style="384" hidden="1" customWidth="1"/>
    <col min="27" max="27" width="12.5703125" style="384" hidden="1" customWidth="1"/>
    <col min="28" max="31" width="9.140625" style="384" hidden="1" customWidth="1"/>
    <col min="32" max="32" width="11.140625" style="384" hidden="1" customWidth="1"/>
    <col min="33" max="37" width="9.140625" style="384" hidden="1" customWidth="1"/>
    <col min="38" max="38" width="13.140625" style="384" hidden="1" customWidth="1"/>
    <col min="39" max="75" width="9.140625" style="384" hidden="1" customWidth="1"/>
    <col min="76" max="76" width="14" style="384" hidden="1" customWidth="1"/>
    <col min="77" max="80" width="9.140625" style="384" hidden="1" customWidth="1"/>
    <col min="81" max="81" width="10.7109375" style="386" hidden="1" customWidth="1"/>
    <col min="82" max="82" width="25.7109375" style="384" hidden="1" customWidth="1"/>
    <col min="83" max="83" width="20" style="384" hidden="1" customWidth="1"/>
    <col min="84" max="84" width="13.140625" style="384" hidden="1" customWidth="1"/>
    <col min="85" max="85" width="12.42578125" style="384" hidden="1" customWidth="1"/>
    <col min="86" max="86" width="11" style="384" hidden="1" customWidth="1"/>
    <col min="87" max="87" width="0" style="384" hidden="1" customWidth="1"/>
    <col min="88" max="16384" width="10.7109375" style="384" hidden="1"/>
  </cols>
  <sheetData>
    <row r="1" spans="2:83" ht="22.5" customHeight="1" thickBot="1" x14ac:dyDescent="0.25">
      <c r="V1" s="402"/>
      <c r="W1" s="402"/>
    </row>
    <row r="2" spans="2:83" ht="30.75" customHeight="1" x14ac:dyDescent="0.2">
      <c r="B2" s="555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38"/>
    </row>
    <row r="3" spans="2:83" ht="74.25" customHeight="1" x14ac:dyDescent="0.2">
      <c r="B3" s="538"/>
      <c r="C3" s="402"/>
      <c r="D3" s="402"/>
      <c r="E3" s="556"/>
      <c r="F3" s="402"/>
      <c r="G3" s="402"/>
      <c r="H3" s="656" t="s">
        <v>209</v>
      </c>
      <c r="I3" s="385"/>
      <c r="J3" s="385"/>
      <c r="K3" s="385"/>
      <c r="L3" s="385"/>
      <c r="M3" s="385"/>
      <c r="N3" s="385"/>
      <c r="O3" s="402"/>
      <c r="P3" s="402"/>
      <c r="Q3" s="402"/>
      <c r="R3" s="402"/>
      <c r="S3" s="479"/>
      <c r="T3" s="504"/>
      <c r="U3" s="504"/>
      <c r="V3" s="538"/>
      <c r="W3" s="504"/>
      <c r="X3" s="504"/>
    </row>
    <row r="4" spans="2:83" ht="9.75" customHeight="1" x14ac:dyDescent="0.2">
      <c r="B4" s="538"/>
      <c r="C4" s="732"/>
      <c r="D4" s="402"/>
      <c r="E4" s="402"/>
      <c r="F4" s="557"/>
      <c r="G4" s="402"/>
      <c r="H4" s="479"/>
      <c r="I4" s="479"/>
      <c r="J4" s="479"/>
      <c r="K4" s="479"/>
      <c r="L4" s="479"/>
      <c r="M4" s="479"/>
      <c r="N4" s="479"/>
      <c r="O4" s="402"/>
      <c r="P4" s="402"/>
      <c r="Q4" s="558"/>
      <c r="R4" s="558"/>
      <c r="S4" s="558"/>
      <c r="T4" s="388"/>
      <c r="U4" s="388"/>
      <c r="V4" s="538"/>
      <c r="W4" s="388"/>
      <c r="X4" s="388"/>
    </row>
    <row r="5" spans="2:83" ht="36" hidden="1" customHeight="1" x14ac:dyDescent="0.2">
      <c r="B5" s="538"/>
      <c r="C5" s="732"/>
      <c r="D5" s="393"/>
      <c r="E5" s="393"/>
      <c r="F5" s="393"/>
      <c r="G5" s="393"/>
      <c r="H5" s="393"/>
      <c r="I5" s="393"/>
      <c r="J5" s="559">
        <f>IF(H6="ÚNICO SUZANO - TORRE 5",1,IF(H6="ÚNICO SUZANO - FASE 2 - TORRES 4 e 6",1,0))</f>
        <v>0</v>
      </c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402"/>
      <c r="V5" s="538"/>
    </row>
    <row r="6" spans="2:83" ht="30" customHeight="1" x14ac:dyDescent="0.2">
      <c r="B6" s="538"/>
      <c r="C6" s="732"/>
      <c r="D6" s="393"/>
      <c r="E6" s="393"/>
      <c r="F6" s="393"/>
      <c r="G6" s="393"/>
      <c r="H6" s="478"/>
      <c r="I6" s="478"/>
      <c r="J6" s="478"/>
      <c r="K6" s="478"/>
      <c r="L6" s="478"/>
      <c r="M6" s="733" t="str">
        <f>IF(AND('Premissas e Calculos'!J11*(1-'Premissas e Calculos'!G29)&lt;='Premissas e Calculos'!J3,'Premissas e Calculos'!J13&lt;='Premissas e Calculos'!J3),"PMCMV","Imóvel fora do PMCMV")</f>
        <v>PMCMV</v>
      </c>
      <c r="N6" s="733"/>
      <c r="O6" s="733"/>
      <c r="P6" s="389"/>
      <c r="Q6" s="402"/>
      <c r="R6" s="402"/>
      <c r="S6" s="402"/>
      <c r="T6" s="393"/>
      <c r="U6" s="402"/>
      <c r="V6" s="538"/>
    </row>
    <row r="7" spans="2:83" ht="18.75" customHeight="1" thickBot="1" x14ac:dyDescent="0.25">
      <c r="B7" s="538"/>
      <c r="C7" s="732"/>
      <c r="D7" s="393"/>
      <c r="E7" s="393"/>
      <c r="F7" s="393"/>
      <c r="G7" s="393"/>
      <c r="H7" s="560" t="s">
        <v>222</v>
      </c>
      <c r="I7" s="393"/>
      <c r="J7" s="393"/>
      <c r="K7" s="402"/>
      <c r="L7" s="402"/>
      <c r="M7" s="595"/>
      <c r="N7" s="563"/>
      <c r="O7" s="563"/>
      <c r="P7" s="393"/>
      <c r="Q7" s="393"/>
      <c r="R7" s="393"/>
      <c r="S7" s="393"/>
      <c r="T7" s="393"/>
      <c r="U7" s="402"/>
      <c r="V7" s="538"/>
    </row>
    <row r="8" spans="2:83" ht="57.75" customHeight="1" thickTop="1" thickBot="1" x14ac:dyDescent="0.25">
      <c r="B8" s="538"/>
      <c r="C8" s="732"/>
      <c r="D8" s="393"/>
      <c r="E8" s="393"/>
      <c r="F8" s="402"/>
      <c r="G8" s="402"/>
      <c r="H8" s="668" t="s">
        <v>270</v>
      </c>
      <c r="I8" s="392"/>
      <c r="J8" s="392"/>
      <c r="K8" s="402"/>
      <c r="L8" s="561" t="s">
        <v>134</v>
      </c>
      <c r="M8" s="734">
        <f>VLOOKUP(H8,Apoio!C:E,2,0)</f>
        <v>242859.4</v>
      </c>
      <c r="N8" s="735"/>
      <c r="O8" s="736"/>
      <c r="P8" s="393"/>
      <c r="Q8" s="393"/>
      <c r="R8" s="402"/>
      <c r="S8" s="402"/>
      <c r="T8" s="393"/>
      <c r="U8" s="402"/>
      <c r="V8" s="538"/>
    </row>
    <row r="9" spans="2:83" ht="9.9499999999999993" customHeight="1" thickTop="1" x14ac:dyDescent="0.2">
      <c r="B9" s="538"/>
      <c r="C9" s="732"/>
      <c r="D9" s="393"/>
      <c r="E9" s="393"/>
      <c r="F9" s="562"/>
      <c r="G9" s="561"/>
      <c r="H9" s="563"/>
      <c r="I9" s="564"/>
      <c r="J9" s="564"/>
      <c r="K9" s="564"/>
      <c r="L9" s="393"/>
      <c r="M9" s="563"/>
      <c r="N9" s="563"/>
      <c r="O9" s="563"/>
      <c r="P9" s="394"/>
      <c r="Q9" s="393"/>
      <c r="R9" s="393"/>
      <c r="S9" s="393"/>
      <c r="T9" s="393"/>
      <c r="U9" s="402"/>
      <c r="V9" s="538"/>
    </row>
    <row r="10" spans="2:83" ht="24.75" customHeight="1" x14ac:dyDescent="0.2">
      <c r="B10" s="538"/>
      <c r="C10" s="732"/>
      <c r="D10" s="670" t="s">
        <v>346</v>
      </c>
      <c r="E10" s="393"/>
      <c r="F10" s="562"/>
      <c r="G10" s="561" t="s">
        <v>137</v>
      </c>
      <c r="H10" s="653">
        <f ca="1">TODAY()</f>
        <v>43802</v>
      </c>
      <c r="I10" s="399"/>
      <c r="J10" s="564"/>
      <c r="K10" s="402"/>
      <c r="L10" s="402"/>
      <c r="M10" s="595"/>
      <c r="N10" s="595"/>
      <c r="O10" s="595"/>
      <c r="P10" s="394"/>
      <c r="Q10" s="393"/>
      <c r="R10" s="393"/>
      <c r="S10" s="676"/>
      <c r="T10" s="393"/>
      <c r="U10" s="402"/>
      <c r="V10" s="538"/>
    </row>
    <row r="11" spans="2:83" ht="9.75" customHeight="1" x14ac:dyDescent="0.2">
      <c r="B11" s="538"/>
      <c r="C11" s="732"/>
      <c r="D11" s="565"/>
      <c r="E11" s="393"/>
      <c r="F11" s="562"/>
      <c r="G11" s="561"/>
      <c r="H11" s="563"/>
      <c r="I11" s="564"/>
      <c r="J11" s="564"/>
      <c r="K11" s="564"/>
      <c r="L11" s="393"/>
      <c r="M11" s="566"/>
      <c r="N11" s="566"/>
      <c r="O11" s="566"/>
      <c r="P11" s="394"/>
      <c r="Q11" s="393"/>
      <c r="R11" s="393"/>
      <c r="S11" s="393"/>
      <c r="T11" s="393"/>
      <c r="U11" s="402"/>
      <c r="V11" s="538"/>
    </row>
    <row r="12" spans="2:83" ht="24.75" customHeight="1" x14ac:dyDescent="0.2">
      <c r="B12" s="538"/>
      <c r="C12" s="732"/>
      <c r="D12" s="654" t="s">
        <v>347</v>
      </c>
      <c r="E12" s="393"/>
      <c r="F12" s="402"/>
      <c r="G12" s="561" t="s">
        <v>89</v>
      </c>
      <c r="H12" s="669"/>
      <c r="I12" s="655"/>
      <c r="J12" s="402"/>
      <c r="K12" s="392"/>
      <c r="L12" s="561" t="s">
        <v>133</v>
      </c>
      <c r="M12" s="850" t="s">
        <v>217</v>
      </c>
      <c r="N12" s="850"/>
      <c r="O12" s="850"/>
      <c r="P12" s="394"/>
      <c r="Q12" s="402"/>
      <c r="R12" s="402"/>
      <c r="S12" s="402"/>
      <c r="T12" s="393"/>
      <c r="U12" s="402"/>
      <c r="V12" s="538"/>
      <c r="CD12" s="395" t="s">
        <v>99</v>
      </c>
      <c r="CE12" s="395" t="s">
        <v>100</v>
      </c>
    </row>
    <row r="13" spans="2:83" ht="9.9499999999999993" customHeight="1" x14ac:dyDescent="0.2">
      <c r="B13" s="538"/>
      <c r="C13" s="732"/>
      <c r="D13" s="402"/>
      <c r="E13" s="393"/>
      <c r="F13" s="402"/>
      <c r="G13" s="562"/>
      <c r="H13" s="567"/>
      <c r="I13" s="399"/>
      <c r="J13" s="399"/>
      <c r="K13" s="399"/>
      <c r="L13" s="561"/>
      <c r="M13" s="563"/>
      <c r="N13" s="563"/>
      <c r="O13" s="563"/>
      <c r="P13" s="394"/>
      <c r="Q13" s="393"/>
      <c r="R13" s="393"/>
      <c r="S13" s="393"/>
      <c r="T13" s="393"/>
      <c r="U13" s="402"/>
      <c r="V13" s="538"/>
      <c r="CD13" s="395"/>
      <c r="CE13" s="395"/>
    </row>
    <row r="14" spans="2:83" ht="26.25" customHeight="1" x14ac:dyDescent="0.2">
      <c r="B14" s="538"/>
      <c r="C14" s="732"/>
      <c r="D14" s="568"/>
      <c r="E14" s="393"/>
      <c r="F14" s="402"/>
      <c r="G14" s="561" t="s">
        <v>204</v>
      </c>
      <c r="H14" s="669"/>
      <c r="I14" s="655"/>
      <c r="J14" s="655"/>
      <c r="K14" s="402"/>
      <c r="L14" s="561" t="s">
        <v>48</v>
      </c>
      <c r="M14" s="851">
        <f>'DADOS DOS EMPREENDIMENTOS'!K10</f>
        <v>44713</v>
      </c>
      <c r="N14" s="851"/>
      <c r="O14" s="851"/>
      <c r="P14" s="394"/>
      <c r="Q14" s="402"/>
      <c r="R14" s="402"/>
      <c r="S14" s="402"/>
      <c r="T14" s="393"/>
      <c r="U14" s="402"/>
      <c r="V14" s="538"/>
      <c r="AA14" s="408"/>
      <c r="CD14" s="395"/>
      <c r="CE14" s="395"/>
    </row>
    <row r="15" spans="2:83" s="396" customFormat="1" ht="15.75" customHeight="1" x14ac:dyDescent="0.2">
      <c r="B15" s="569"/>
      <c r="C15" s="399"/>
      <c r="D15" s="399"/>
      <c r="E15" s="399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4"/>
      <c r="Q15" s="402"/>
      <c r="R15" s="402"/>
      <c r="S15" s="478"/>
      <c r="T15" s="399"/>
      <c r="U15" s="399"/>
      <c r="V15" s="569"/>
      <c r="W15" s="384"/>
      <c r="X15" s="384"/>
      <c r="BL15" s="397"/>
      <c r="BW15" s="697"/>
      <c r="BX15" s="698"/>
      <c r="BY15" s="699"/>
      <c r="CC15" s="400"/>
      <c r="CD15" s="401"/>
      <c r="CE15" s="401"/>
    </row>
    <row r="16" spans="2:83" ht="37.5" customHeight="1" thickBot="1" x14ac:dyDescent="0.25">
      <c r="B16" s="538"/>
      <c r="C16" s="402"/>
      <c r="D16" s="550" t="s">
        <v>404</v>
      </c>
      <c r="E16" s="508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394"/>
      <c r="Q16" s="445"/>
      <c r="R16" s="445"/>
      <c r="S16" s="445"/>
      <c r="T16" s="722"/>
      <c r="U16" s="722"/>
      <c r="V16" s="538"/>
      <c r="Y16" s="402"/>
      <c r="Z16" s="387"/>
      <c r="BL16" s="390"/>
      <c r="BW16" s="697"/>
      <c r="BX16" s="698"/>
      <c r="BY16" s="699"/>
      <c r="CD16" s="403"/>
      <c r="CE16" s="403"/>
    </row>
    <row r="17" spans="2:84" ht="25.5" x14ac:dyDescent="0.2">
      <c r="B17" s="538"/>
      <c r="C17" s="402"/>
      <c r="D17" s="402"/>
      <c r="E17" s="570"/>
      <c r="F17" s="570"/>
      <c r="G17" s="570"/>
      <c r="H17" s="570"/>
      <c r="I17" s="570"/>
      <c r="J17" s="570"/>
      <c r="K17" s="570"/>
      <c r="L17" s="570"/>
      <c r="M17" s="570"/>
      <c r="N17" s="570"/>
      <c r="O17" s="570"/>
      <c r="P17" s="394"/>
      <c r="Q17" s="571"/>
      <c r="R17" s="445"/>
      <c r="S17" s="571"/>
      <c r="T17" s="402"/>
      <c r="U17" s="402"/>
      <c r="V17" s="538"/>
      <c r="Y17" s="402"/>
      <c r="Z17" s="387"/>
      <c r="BW17" s="697"/>
      <c r="BX17" s="698"/>
      <c r="BY17" s="699"/>
      <c r="CD17" s="403"/>
      <c r="CE17" s="403"/>
    </row>
    <row r="18" spans="2:84" ht="27.75" customHeight="1" thickBot="1" x14ac:dyDescent="0.25">
      <c r="B18" s="538"/>
      <c r="C18" s="402"/>
      <c r="D18" s="475" t="s">
        <v>380</v>
      </c>
      <c r="E18" s="727"/>
      <c r="F18" s="727"/>
      <c r="G18" s="727"/>
      <c r="K18" s="402"/>
      <c r="L18" s="561" t="s">
        <v>387</v>
      </c>
      <c r="M18" s="743">
        <v>15000</v>
      </c>
      <c r="N18" s="743"/>
      <c r="O18" s="743"/>
      <c r="P18" s="394"/>
      <c r="Q18" s="445"/>
      <c r="R18" s="445"/>
      <c r="S18" s="445"/>
      <c r="T18" s="402"/>
      <c r="U18" s="402"/>
      <c r="V18" s="538"/>
      <c r="W18" s="471"/>
      <c r="X18" s="396"/>
      <c r="Y18" s="402"/>
      <c r="Z18" s="387"/>
      <c r="BW18" s="700"/>
      <c r="BX18" s="701"/>
      <c r="BY18" s="702"/>
      <c r="CD18" s="403"/>
      <c r="CE18" s="403"/>
    </row>
    <row r="19" spans="2:84" ht="27.75" customHeight="1" x14ac:dyDescent="0.2">
      <c r="B19" s="538"/>
      <c r="C19" s="402"/>
      <c r="D19" s="472" t="s">
        <v>381</v>
      </c>
      <c r="E19" s="860">
        <v>5800</v>
      </c>
      <c r="F19" s="860"/>
      <c r="G19" s="860"/>
      <c r="K19" s="402"/>
      <c r="L19" s="402"/>
      <c r="M19" s="595"/>
      <c r="N19" s="472" t="s">
        <v>105</v>
      </c>
      <c r="O19" s="595"/>
      <c r="P19" s="394"/>
      <c r="Q19" s="445"/>
      <c r="R19" s="445"/>
      <c r="S19" s="445"/>
      <c r="T19" s="402"/>
      <c r="U19" s="402"/>
      <c r="V19" s="538"/>
      <c r="BW19" s="405">
        <f>'DADOS DOS EMPREENDIMENTOS'!A12</f>
        <v>3</v>
      </c>
      <c r="BX19" s="391">
        <f>'DADOS DOS EMPREENDIMENTOS'!B12</f>
        <v>0</v>
      </c>
      <c r="BY19" s="406">
        <f>'DADOS DOS EMPREENDIMENTOS'!C12</f>
        <v>3</v>
      </c>
      <c r="CD19" s="403"/>
      <c r="CE19" s="403"/>
    </row>
    <row r="20" spans="2:84" ht="27.75" customHeight="1" x14ac:dyDescent="0.2">
      <c r="B20" s="538"/>
      <c r="C20" s="402"/>
      <c r="D20" s="472" t="s">
        <v>457</v>
      </c>
      <c r="E20" s="671">
        <v>4</v>
      </c>
      <c r="F20" s="671">
        <v>3</v>
      </c>
      <c r="G20" s="671">
        <v>1998</v>
      </c>
      <c r="H20" s="572"/>
      <c r="I20" s="573"/>
      <c r="J20" s="472"/>
      <c r="K20" s="402"/>
      <c r="L20" s="472" t="s">
        <v>391</v>
      </c>
      <c r="M20" s="852">
        <f>'Premissas e Calculos'!J17</f>
        <v>0</v>
      </c>
      <c r="N20" s="853"/>
      <c r="O20" s="854"/>
      <c r="P20" s="394"/>
      <c r="Q20" s="445"/>
      <c r="R20" s="445"/>
      <c r="S20" s="445"/>
      <c r="T20" s="402"/>
      <c r="U20" s="402"/>
      <c r="V20" s="538"/>
      <c r="W20" s="505"/>
      <c r="BW20" s="405"/>
      <c r="BX20" s="391"/>
      <c r="BY20" s="406"/>
      <c r="CD20" s="403"/>
      <c r="CE20" s="403"/>
    </row>
    <row r="21" spans="2:84" ht="27.75" customHeight="1" x14ac:dyDescent="0.2">
      <c r="B21" s="538"/>
      <c r="C21" s="402"/>
      <c r="D21" s="476" t="s">
        <v>384</v>
      </c>
      <c r="E21" s="672">
        <v>1</v>
      </c>
      <c r="F21" s="470"/>
      <c r="G21" s="470"/>
      <c r="H21" s="572"/>
      <c r="I21" s="573"/>
      <c r="J21" s="472"/>
      <c r="K21" s="574"/>
      <c r="L21" s="574"/>
      <c r="M21" s="629"/>
      <c r="N21" s="477" t="s">
        <v>105</v>
      </c>
      <c r="O21" s="629"/>
      <c r="P21" s="394"/>
      <c r="Q21" s="445"/>
      <c r="R21" s="445"/>
      <c r="S21" s="445"/>
      <c r="T21" s="402"/>
      <c r="U21" s="402"/>
      <c r="V21" s="538"/>
      <c r="BW21" s="405"/>
      <c r="BX21" s="391"/>
      <c r="BY21" s="406"/>
      <c r="CD21" s="403"/>
      <c r="CE21" s="403"/>
    </row>
    <row r="22" spans="2:84" ht="27" customHeight="1" x14ac:dyDescent="0.2">
      <c r="B22" s="538"/>
      <c r="C22" s="575"/>
      <c r="D22" s="477" t="s">
        <v>385</v>
      </c>
      <c r="E22" s="673" t="s">
        <v>164</v>
      </c>
      <c r="F22" s="564"/>
      <c r="G22" s="473"/>
      <c r="H22" s="470"/>
      <c r="I22" s="573"/>
      <c r="J22" s="576"/>
      <c r="K22" s="472"/>
      <c r="L22" s="472" t="s">
        <v>392</v>
      </c>
      <c r="M22" s="855">
        <f ca="1">IF((M8-((IF(ROUND(IF(F32="PRAZO EXCEDIDO","ERRO",'Premissas e Calculos'!O10),0)&gt;=0,ROUND(IF(D33="PRAZO EXCEDIDO","ERRO",'Premissas e Calculos'!O10),0),0)*'Premissas e Calculos'!G32)+M20+M18))&gt;N25,(IF(ROUND(IF(D33="PRAZO EXCEDIDO","ERRO",'Premissas e Calculos'!O10),0)&gt;=0,ROUND(IF(D33="PRAZO EXCEDIDO","ERRO",'Premissas e Calculos'!O10),0),0)*'Premissas e Calculos'!G32),M9-M24-M18-M20)</f>
        <v>176800</v>
      </c>
      <c r="N22" s="856"/>
      <c r="O22" s="857"/>
      <c r="P22" s="549"/>
      <c r="Q22" s="402"/>
      <c r="R22" s="633"/>
      <c r="S22" s="445"/>
      <c r="T22" s="402"/>
      <c r="U22" s="402"/>
      <c r="V22" s="538"/>
      <c r="Z22" s="387"/>
      <c r="BL22" s="384" t="s">
        <v>164</v>
      </c>
      <c r="BW22" s="405">
        <f>'DADOS DOS EMPREENDIMENTOS'!A13</f>
        <v>4</v>
      </c>
      <c r="BX22" s="391">
        <f>'DADOS DOS EMPREENDIMENTOS'!B13</f>
        <v>0</v>
      </c>
      <c r="BY22" s="406">
        <f>'DADOS DOS EMPREENDIMENTOS'!C13</f>
        <v>4</v>
      </c>
    </row>
    <row r="23" spans="2:84" ht="32.25" customHeight="1" x14ac:dyDescent="0.2">
      <c r="B23" s="538"/>
      <c r="C23" s="575"/>
      <c r="D23" s="477" t="s">
        <v>382</v>
      </c>
      <c r="E23" s="674">
        <v>36</v>
      </c>
      <c r="F23" s="564"/>
      <c r="G23" s="473"/>
      <c r="H23" s="470"/>
      <c r="I23" s="573"/>
      <c r="J23" s="576"/>
      <c r="K23" s="574"/>
      <c r="L23" s="574"/>
      <c r="M23" s="595"/>
      <c r="N23" s="472" t="s">
        <v>106</v>
      </c>
      <c r="O23" s="595"/>
      <c r="P23" s="394"/>
      <c r="Q23" s="445"/>
      <c r="R23" s="634"/>
      <c r="S23" s="445"/>
      <c r="T23" s="402"/>
      <c r="U23" s="402"/>
      <c r="V23" s="538"/>
      <c r="W23" s="537"/>
      <c r="X23" s="404"/>
      <c r="Z23" s="387"/>
      <c r="BW23" s="405"/>
      <c r="BX23" s="391"/>
      <c r="BY23" s="406"/>
    </row>
    <row r="24" spans="2:84" ht="27.75" customHeight="1" x14ac:dyDescent="0.2">
      <c r="B24" s="538"/>
      <c r="C24" s="575"/>
      <c r="D24" s="477" t="s">
        <v>386</v>
      </c>
      <c r="E24" s="672" t="s">
        <v>164</v>
      </c>
      <c r="F24" s="564"/>
      <c r="G24" s="473"/>
      <c r="H24" s="402"/>
      <c r="I24" s="573"/>
      <c r="J24" s="576"/>
      <c r="K24" s="472"/>
      <c r="L24" s="472" t="s">
        <v>393</v>
      </c>
      <c r="M24" s="719">
        <f ca="1">SUM(M22,M20,M18)</f>
        <v>191800</v>
      </c>
      <c r="N24" s="720"/>
      <c r="O24" s="721"/>
      <c r="P24" s="549"/>
      <c r="Q24" s="577"/>
      <c r="R24" s="445"/>
      <c r="S24" s="445"/>
      <c r="T24" s="402"/>
      <c r="U24" s="402"/>
      <c r="V24" s="538"/>
      <c r="X24" s="404"/>
      <c r="Z24" s="387"/>
      <c r="BW24" s="405"/>
      <c r="BX24" s="391"/>
      <c r="BY24" s="406"/>
    </row>
    <row r="25" spans="2:84" ht="36.75" customHeight="1" x14ac:dyDescent="0.2">
      <c r="B25" s="538"/>
      <c r="C25" s="575"/>
      <c r="D25" s="474" t="s">
        <v>383</v>
      </c>
      <c r="E25" s="674">
        <v>360</v>
      </c>
      <c r="F25" s="677" t="str">
        <f>IF(E25&lt;420,"",IF(AND(H3="TABELA SAC",F31="NÃO"),"", "SÓ PODEMOS UTILIZAR O PRAZO DE 420 MESES EM PROPOSTAS MCMV NA TABELA SAC"))</f>
        <v/>
      </c>
      <c r="G25" s="578"/>
      <c r="H25" s="402"/>
      <c r="I25" s="573"/>
      <c r="J25" s="576"/>
      <c r="K25" s="472"/>
      <c r="L25" s="472"/>
      <c r="M25" s="548"/>
      <c r="N25" s="548"/>
      <c r="O25" s="548"/>
      <c r="P25" s="402"/>
      <c r="Q25" s="445"/>
      <c r="R25" s="445"/>
      <c r="S25" s="445"/>
      <c r="T25" s="402"/>
      <c r="U25" s="402"/>
      <c r="V25" s="538"/>
      <c r="Z25" s="387"/>
      <c r="BW25" s="405"/>
      <c r="BX25" s="391"/>
      <c r="BY25" s="406"/>
    </row>
    <row r="26" spans="2:84" ht="24" customHeight="1" x14ac:dyDescent="0.2">
      <c r="B26" s="538"/>
      <c r="C26" s="402"/>
      <c r="D26" s="402"/>
      <c r="E26" s="402"/>
      <c r="F26" s="402"/>
      <c r="G26" s="402"/>
      <c r="H26" s="402"/>
      <c r="I26" s="573"/>
      <c r="J26" s="579"/>
      <c r="K26" s="472"/>
      <c r="L26" s="472" t="s">
        <v>359</v>
      </c>
      <c r="M26" s="719">
        <f>IF(E19&lt;=(998*6),0,IF(E19&lt;=(SM*10),0.5*M8*3%,M8*3%))</f>
        <v>0</v>
      </c>
      <c r="N26" s="720"/>
      <c r="O26" s="721"/>
      <c r="P26" s="544"/>
      <c r="Q26" s="445"/>
      <c r="R26" s="445"/>
      <c r="S26" s="445"/>
      <c r="T26" s="402"/>
      <c r="U26" s="402"/>
      <c r="V26" s="538"/>
      <c r="BW26" s="405">
        <f>'DADOS DOS EMPREENDIMENTOS'!A14</f>
        <v>5</v>
      </c>
      <c r="BX26" s="391">
        <f>'DADOS DOS EMPREENDIMENTOS'!B14</f>
        <v>0</v>
      </c>
      <c r="BY26" s="406">
        <f>'DADOS DOS EMPREENDIMENTOS'!C14</f>
        <v>5</v>
      </c>
    </row>
    <row r="27" spans="2:84" ht="22.5" x14ac:dyDescent="0.2">
      <c r="B27" s="538"/>
      <c r="C27" s="402"/>
      <c r="D27" s="472" t="s">
        <v>388</v>
      </c>
      <c r="E27" s="481">
        <f>IF(F31="não",7.8%,IF(E23&gt;=36,'Premissas e Calculos'!J9-0.5%,'Premissas e Calculos'!J9))</f>
        <v>7.6600000000000001E-2</v>
      </c>
      <c r="F27" s="482" t="s">
        <v>135</v>
      </c>
      <c r="G27" s="580" t="str">
        <f>IF(E23&gt;=36,"(Redução de 0,5% na taxa de juros)","")</f>
        <v>(Redução de 0,5% na taxa de juros)</v>
      </c>
      <c r="H27" s="402"/>
      <c r="I27" s="573"/>
      <c r="J27" s="574"/>
      <c r="K27" s="581"/>
      <c r="L27" s="472" t="s">
        <v>389</v>
      </c>
      <c r="M27" s="858">
        <f>IF(F31="Sim",2600,IF(E24="Não",2600,5200))</f>
        <v>2600</v>
      </c>
      <c r="N27" s="859"/>
      <c r="O27" s="859"/>
      <c r="P27" s="547"/>
      <c r="Q27" s="445"/>
      <c r="R27" s="445"/>
      <c r="S27" s="445"/>
      <c r="T27" s="402"/>
      <c r="U27" s="402"/>
      <c r="V27" s="538"/>
      <c r="BW27" s="405">
        <f>'DADOS DOS EMPREENDIMENTOS'!A15</f>
        <v>6</v>
      </c>
      <c r="BX27" s="391">
        <f>'DADOS DOS EMPREENDIMENTOS'!B15</f>
        <v>0</v>
      </c>
      <c r="BY27" s="406">
        <f>'DADOS DOS EMPREENDIMENTOS'!C15</f>
        <v>6</v>
      </c>
      <c r="CD27" s="395" t="s">
        <v>101</v>
      </c>
      <c r="CE27" s="395" t="s">
        <v>98</v>
      </c>
      <c r="CF27" s="395" t="s">
        <v>102</v>
      </c>
    </row>
    <row r="28" spans="2:84" ht="28.5" x14ac:dyDescent="0.2">
      <c r="B28" s="538"/>
      <c r="C28" s="402"/>
      <c r="D28" s="407"/>
      <c r="E28" s="468"/>
      <c r="F28" s="468"/>
      <c r="G28" s="470"/>
      <c r="H28" s="402"/>
      <c r="I28" s="472"/>
      <c r="J28" s="472"/>
      <c r="K28" s="402"/>
      <c r="L28" s="472" t="s">
        <v>390</v>
      </c>
      <c r="M28" s="719">
        <f>SUM(M26:O27)</f>
        <v>2600</v>
      </c>
      <c r="N28" s="720"/>
      <c r="O28" s="721"/>
      <c r="P28" s="547"/>
      <c r="Q28" s="445"/>
      <c r="R28" s="445"/>
      <c r="S28" s="445"/>
      <c r="T28" s="582"/>
      <c r="U28" s="582"/>
      <c r="V28" s="538"/>
      <c r="BW28" s="405">
        <f>'DADOS DOS EMPREENDIMENTOS'!A16</f>
        <v>7</v>
      </c>
      <c r="BX28" s="391">
        <f>'DADOS DOS EMPREENDIMENTOS'!B16</f>
        <v>0</v>
      </c>
      <c r="BY28" s="406">
        <f>'DADOS DOS EMPREENDIMENTOS'!C16</f>
        <v>7</v>
      </c>
      <c r="CD28" s="386">
        <v>240</v>
      </c>
      <c r="CE28" s="409" t="e">
        <f>repasse240</f>
        <v>#REF!</v>
      </c>
      <c r="CF28" s="410" t="e">
        <f>#REF!/CD28</f>
        <v>#REF!</v>
      </c>
    </row>
    <row r="29" spans="2:84" ht="28.5" x14ac:dyDescent="0.2">
      <c r="B29" s="538"/>
      <c r="C29" s="402"/>
      <c r="D29" s="468"/>
      <c r="E29" s="481">
        <f>(1+E27)^(1/12)-1</f>
        <v>6.1696147485346131E-3</v>
      </c>
      <c r="F29" s="482" t="s">
        <v>136</v>
      </c>
      <c r="G29" s="583"/>
      <c r="H29" s="402"/>
      <c r="I29" s="584"/>
      <c r="J29" s="661"/>
      <c r="K29" s="402"/>
      <c r="L29" s="402"/>
      <c r="M29" s="595"/>
      <c r="N29" s="595"/>
      <c r="O29" s="595"/>
      <c r="P29" s="585"/>
      <c r="Q29" s="402"/>
      <c r="R29" s="402"/>
      <c r="S29" s="402"/>
      <c r="T29" s="582"/>
      <c r="U29" s="582"/>
      <c r="V29" s="538"/>
      <c r="BW29" s="405">
        <f>'DADOS DOS EMPREENDIMENTOS'!A17</f>
        <v>8</v>
      </c>
      <c r="BX29" s="391">
        <f>'DADOS DOS EMPREENDIMENTOS'!B17</f>
        <v>0</v>
      </c>
      <c r="BY29" s="406">
        <f>'DADOS DOS EMPREENDIMENTOS'!C17</f>
        <v>8</v>
      </c>
      <c r="CD29" s="386">
        <v>300</v>
      </c>
      <c r="CE29" s="409" t="e">
        <f>repasse300</f>
        <v>#REF!</v>
      </c>
      <c r="CF29" s="410" t="e">
        <f>#REF!/CD29</f>
        <v>#REF!</v>
      </c>
    </row>
    <row r="30" spans="2:84" ht="19.5" x14ac:dyDescent="0.2">
      <c r="B30" s="538"/>
      <c r="C30" s="402"/>
      <c r="D30" s="407"/>
      <c r="E30" s="407"/>
      <c r="F30" s="407"/>
      <c r="G30" s="407"/>
      <c r="H30" s="402"/>
      <c r="I30" s="472"/>
      <c r="J30" s="472"/>
      <c r="K30" s="402"/>
      <c r="L30" s="402"/>
      <c r="M30" s="595"/>
      <c r="N30" s="595"/>
      <c r="O30" s="595"/>
      <c r="P30" s="586"/>
      <c r="Q30" s="402"/>
      <c r="R30" s="402"/>
      <c r="S30" s="402"/>
      <c r="T30" s="586"/>
      <c r="U30" s="402"/>
      <c r="V30" s="538"/>
      <c r="BW30" s="405"/>
      <c r="BX30" s="391"/>
      <c r="BY30" s="406"/>
      <c r="CD30" s="386"/>
      <c r="CE30" s="409"/>
      <c r="CF30" s="410"/>
    </row>
    <row r="31" spans="2:84" ht="30.75" customHeight="1" x14ac:dyDescent="0.2">
      <c r="B31" s="538"/>
      <c r="C31" s="402"/>
      <c r="D31" s="554"/>
      <c r="E31" s="528" t="s">
        <v>397</v>
      </c>
      <c r="F31" s="649" t="str">
        <f>IF(AND(E19&lt;='Premissas e Calculos'!C7,E24="Não"),"Sim","Não")</f>
        <v>Sim</v>
      </c>
      <c r="G31" s="544"/>
      <c r="H31" s="472" t="s">
        <v>398</v>
      </c>
      <c r="I31" s="744">
        <f>E19*30%</f>
        <v>1740</v>
      </c>
      <c r="J31" s="745"/>
      <c r="K31" s="402"/>
      <c r="L31" s="472" t="s">
        <v>394</v>
      </c>
      <c r="M31" s="712">
        <f ca="1">Q33+M24</f>
        <v>191800</v>
      </c>
      <c r="N31" s="713"/>
      <c r="O31" s="714"/>
      <c r="P31" s="546"/>
      <c r="Q31" s="402"/>
      <c r="R31" s="402"/>
      <c r="S31" s="402"/>
      <c r="T31" s="586"/>
      <c r="U31" s="402"/>
      <c r="V31" s="538"/>
      <c r="BW31" s="405"/>
      <c r="BX31" s="391"/>
      <c r="BY31" s="406"/>
      <c r="CD31" s="386"/>
      <c r="CE31" s="409"/>
      <c r="CF31" s="410"/>
    </row>
    <row r="32" spans="2:84" ht="25.5" customHeight="1" x14ac:dyDescent="0.2">
      <c r="B32" s="538"/>
      <c r="C32" s="402"/>
      <c r="D32" s="632" t="str">
        <f>IF(F29&lt;=L14,"OK",IF(L14&lt;0,"Não é possível financiar. Idade superior à permitida.",CONCATENATE("PRAZO EXCEDIDO, MÁXIMO: ",L14, " MESES")))</f>
        <v>OK</v>
      </c>
      <c r="E32" s="402"/>
      <c r="F32" s="746" t="str">
        <f ca="1">IF(E25&lt;='Premissas e Calculos'!O16,"OK",IF('Premissas e Calculos'!O16&lt;0,"Não é possível financiar. Idade superior à permitida.",CONCATENATE("PRAZO EXCEDIDO, MÁXIMO: ",'Premissas e Calculos'!O16," MESES")))</f>
        <v>OK</v>
      </c>
      <c r="G32" s="726" t="str">
        <f>IF(W14=0,IF(E19&gt;7000,"Cliente fora do PMCMV/CCFGTS, mudar p/ SAC",""))</f>
        <v/>
      </c>
      <c r="H32" s="726"/>
      <c r="I32" s="726"/>
      <c r="J32" s="402"/>
      <c r="K32" s="402"/>
      <c r="L32" s="402"/>
      <c r="M32" s="402"/>
      <c r="N32" s="545"/>
      <c r="O32" s="545"/>
      <c r="P32" s="586"/>
      <c r="Q32" s="402"/>
      <c r="R32" s="402"/>
      <c r="S32" s="402"/>
      <c r="T32" s="587"/>
      <c r="U32" s="402"/>
      <c r="V32" s="538"/>
      <c r="BK32" s="384" t="s">
        <v>151</v>
      </c>
      <c r="BW32" s="405">
        <f>'DADOS DOS EMPREENDIMENTOS'!A19</f>
        <v>10</v>
      </c>
      <c r="BX32" s="391">
        <f>'DADOS DOS EMPREENDIMENTOS'!B19</f>
        <v>0</v>
      </c>
      <c r="BY32" s="406">
        <f>'DADOS DOS EMPREENDIMENTOS'!C19</f>
        <v>10</v>
      </c>
    </row>
    <row r="33" spans="2:81" ht="27" customHeight="1" x14ac:dyDescent="0.2">
      <c r="B33" s="538"/>
      <c r="C33" s="402"/>
      <c r="D33" s="606" t="str">
        <f ca="1">IF(E25&lt;='Premissas e Calculos'!O16,"OK",IF('Premissas e Calculos'!O16&lt;0,"Não é possível financiar. Idade superior à permitida.",CONCATENATE("PRAZO EXCEDIDO, MÁXIMO: ",'Premissas e Calculos'!O16, " MESES")))</f>
        <v>OK</v>
      </c>
      <c r="E33" s="552"/>
      <c r="F33" s="746"/>
      <c r="G33" s="726"/>
      <c r="H33" s="726"/>
      <c r="I33" s="726"/>
      <c r="J33" s="552"/>
      <c r="K33" s="552"/>
      <c r="L33" s="552"/>
      <c r="M33" s="553"/>
      <c r="N33" s="553"/>
      <c r="O33" s="553"/>
      <c r="P33" s="411"/>
      <c r="Q33" s="402"/>
      <c r="R33" s="402"/>
      <c r="S33" s="402"/>
      <c r="T33" s="587"/>
      <c r="U33" s="402"/>
      <c r="V33" s="538"/>
      <c r="BW33" s="405">
        <f>'DADOS DOS EMPREENDIMENTOS'!A20</f>
        <v>11</v>
      </c>
      <c r="BX33" s="391">
        <f>'DADOS DOS EMPREENDIMENTOS'!B20</f>
        <v>0</v>
      </c>
      <c r="BY33" s="406">
        <f>'DADOS DOS EMPREENDIMENTOS'!C20</f>
        <v>11</v>
      </c>
    </row>
    <row r="34" spans="2:81" ht="27" customHeight="1" x14ac:dyDescent="0.2">
      <c r="B34" s="538"/>
      <c r="C34" s="402"/>
      <c r="D34" s="402"/>
      <c r="E34" s="412"/>
      <c r="F34" s="412"/>
      <c r="G34" s="402"/>
      <c r="H34" s="402"/>
      <c r="I34" s="402"/>
      <c r="J34" s="402"/>
      <c r="K34" s="402"/>
      <c r="L34" s="402"/>
      <c r="M34" s="552" t="str">
        <f>IF(E19&gt;'Premissas e Calculos'!C7,"Renda acima de R$ 7.000 Financia somente na Tabela SAC em até 360 meses"," ")</f>
        <v xml:space="preserve"> </v>
      </c>
      <c r="N34" s="588"/>
      <c r="O34" s="588"/>
      <c r="P34" s="402"/>
      <c r="Q34" s="402"/>
      <c r="R34" s="589"/>
      <c r="S34" s="587"/>
      <c r="T34" s="587"/>
      <c r="U34" s="402"/>
      <c r="V34" s="538"/>
      <c r="Z34" s="413"/>
      <c r="BW34" s="405">
        <f>'DADOS DOS EMPREENDIMENTOS'!A21</f>
        <v>12</v>
      </c>
      <c r="BX34" s="391">
        <f>'DADOS DOS EMPREENDIMENTOS'!B21</f>
        <v>0</v>
      </c>
      <c r="BY34" s="406">
        <f>'DADOS DOS EMPREENDIMENTOS'!C21</f>
        <v>12</v>
      </c>
      <c r="CC34" s="384"/>
    </row>
    <row r="35" spans="2:81" ht="27" customHeight="1" x14ac:dyDescent="0.2">
      <c r="B35" s="538"/>
      <c r="C35" s="402"/>
      <c r="D35" s="551" t="s">
        <v>403</v>
      </c>
      <c r="E35" s="402"/>
      <c r="F35" s="402"/>
      <c r="G35" s="402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589"/>
      <c r="S35" s="587"/>
      <c r="T35" s="587"/>
      <c r="U35" s="402"/>
      <c r="V35" s="538"/>
      <c r="Z35" s="413"/>
      <c r="BW35" s="405">
        <f>'DADOS DOS EMPREENDIMENTOS'!A22</f>
        <v>13</v>
      </c>
      <c r="BX35" s="391">
        <f>'DADOS DOS EMPREENDIMENTOS'!B22</f>
        <v>0</v>
      </c>
      <c r="BY35" s="406">
        <f>'DADOS DOS EMPREENDIMENTOS'!C22</f>
        <v>13</v>
      </c>
      <c r="CC35" s="384"/>
    </row>
    <row r="36" spans="2:81" ht="26.25" hidden="1" customHeight="1" thickBot="1" x14ac:dyDescent="0.25">
      <c r="B36" s="538"/>
      <c r="C36" s="402"/>
      <c r="D36" s="508"/>
      <c r="E36" s="508"/>
      <c r="F36" s="508"/>
      <c r="G36" s="508"/>
      <c r="H36" s="508"/>
      <c r="I36" s="508"/>
      <c r="J36" s="508"/>
      <c r="K36" s="508"/>
      <c r="L36" s="508"/>
      <c r="M36" s="508"/>
      <c r="N36" s="508"/>
      <c r="O36" s="508"/>
      <c r="P36" s="508"/>
      <c r="Q36" s="508"/>
      <c r="R36" s="508"/>
      <c r="S36" s="508"/>
      <c r="T36" s="587"/>
      <c r="U36" s="402"/>
      <c r="V36" s="538"/>
      <c r="BW36" s="405">
        <f>'DADOS DOS EMPREENDIMENTOS'!A23</f>
        <v>14</v>
      </c>
      <c r="BX36" s="391">
        <f>'DADOS DOS EMPREENDIMENTOS'!B23</f>
        <v>0</v>
      </c>
      <c r="BY36" s="406">
        <f>'DADOS DOS EMPREENDIMENTOS'!C23</f>
        <v>14</v>
      </c>
      <c r="CC36" s="384"/>
    </row>
    <row r="37" spans="2:81" ht="36" hidden="1" customHeight="1" x14ac:dyDescent="0.2">
      <c r="B37" s="538"/>
      <c r="C37" s="402"/>
      <c r="D37" s="551"/>
      <c r="E37" s="551"/>
      <c r="F37" s="551"/>
      <c r="G37" s="551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538"/>
      <c r="BK37" s="414" t="s">
        <v>37</v>
      </c>
      <c r="BL37" s="384">
        <v>1</v>
      </c>
      <c r="BW37" s="405">
        <f>'DADOS DOS EMPREENDIMENTOS'!A24</f>
        <v>0</v>
      </c>
      <c r="BX37" s="391">
        <f>'DADOS DOS EMPREENDIMENTOS'!B24</f>
        <v>0</v>
      </c>
      <c r="BY37" s="406">
        <f>'DADOS DOS EMPREENDIMENTOS'!C24</f>
        <v>0</v>
      </c>
      <c r="CC37" s="384"/>
    </row>
    <row r="38" spans="2:81" ht="21.75" hidden="1" customHeight="1" x14ac:dyDescent="0.2">
      <c r="B38" s="538"/>
      <c r="C38" s="402"/>
      <c r="D38" s="551"/>
      <c r="E38" s="551"/>
      <c r="F38" s="551"/>
      <c r="G38" s="551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  <c r="T38" s="402"/>
      <c r="U38" s="402"/>
      <c r="V38" s="538"/>
      <c r="W38" s="416">
        <f>+N40+N42+N44+N52</f>
        <v>13357.267</v>
      </c>
      <c r="X38" s="416">
        <f>+N66+N68+N72</f>
        <v>8000</v>
      </c>
      <c r="BK38" s="414" t="s">
        <v>39</v>
      </c>
      <c r="BL38" s="384">
        <v>6</v>
      </c>
      <c r="BW38" s="405">
        <f>'DADOS DOS EMPREENDIMENTOS'!A25</f>
        <v>0</v>
      </c>
      <c r="BX38" s="391">
        <f>'DADOS DOS EMPREENDIMENTOS'!B25</f>
        <v>0</v>
      </c>
      <c r="BY38" s="406">
        <f>'DADOS DOS EMPREENDIMENTOS'!C25</f>
        <v>0</v>
      </c>
      <c r="CC38" s="384"/>
    </row>
    <row r="39" spans="2:81" ht="46.5" hidden="1" customHeight="1" x14ac:dyDescent="0.2">
      <c r="B39" s="538"/>
      <c r="C39" s="445"/>
      <c r="D39" s="848" t="s">
        <v>50</v>
      </c>
      <c r="E39" s="402"/>
      <c r="F39" s="710" t="s">
        <v>157</v>
      </c>
      <c r="G39" s="710"/>
      <c r="H39" s="638" t="s">
        <v>153</v>
      </c>
      <c r="I39" s="706" t="s">
        <v>152</v>
      </c>
      <c r="J39" s="706"/>
      <c r="K39" s="706"/>
      <c r="L39" s="706" t="s">
        <v>154</v>
      </c>
      <c r="M39" s="706"/>
      <c r="N39" s="710" t="s">
        <v>60</v>
      </c>
      <c r="O39" s="710"/>
      <c r="P39" s="711"/>
      <c r="Q39" s="609" t="s">
        <v>200</v>
      </c>
      <c r="R39" s="402"/>
      <c r="S39" s="402"/>
      <c r="T39" s="417"/>
      <c r="U39" s="402"/>
      <c r="V39" s="538"/>
      <c r="W39" s="408">
        <f>N40+N42+N44</f>
        <v>6071.4849999999997</v>
      </c>
      <c r="X39" s="418">
        <f>N40</f>
        <v>2023.8283333333331</v>
      </c>
      <c r="AA39" s="707" t="s">
        <v>155</v>
      </c>
      <c r="AB39" s="708"/>
      <c r="AC39" s="709"/>
      <c r="BK39" s="414" t="s">
        <v>27</v>
      </c>
      <c r="BL39" s="384">
        <v>12</v>
      </c>
      <c r="BW39" s="405">
        <f>'DADOS DOS EMPREENDIMENTOS'!A26</f>
        <v>0</v>
      </c>
      <c r="BX39" s="391">
        <f>'DADOS DOS EMPREENDIMENTOS'!B26</f>
        <v>0</v>
      </c>
      <c r="BY39" s="406">
        <f>'DADOS DOS EMPREENDIMENTOS'!C26</f>
        <v>0</v>
      </c>
      <c r="CC39" s="384"/>
    </row>
    <row r="40" spans="2:81" ht="38.25" hidden="1" customHeight="1" x14ac:dyDescent="0.2">
      <c r="B40" s="538"/>
      <c r="C40" s="445"/>
      <c r="D40" s="848"/>
      <c r="E40" s="483" t="s">
        <v>44</v>
      </c>
      <c r="F40" s="728">
        <f>+fluxos!B4</f>
        <v>0</v>
      </c>
      <c r="G40" s="728"/>
      <c r="H40" s="486">
        <f ca="1">IF(H10&lt;43647,43647,H10)</f>
        <v>43802</v>
      </c>
      <c r="I40" s="723">
        <v>1</v>
      </c>
      <c r="J40" s="724"/>
      <c r="K40" s="725"/>
      <c r="L40" s="729">
        <f>M8*Q40/I40</f>
        <v>2023.8283333333331</v>
      </c>
      <c r="M40" s="730"/>
      <c r="N40" s="718">
        <f>L40*I40</f>
        <v>2023.8283333333331</v>
      </c>
      <c r="O40" s="718"/>
      <c r="P40" s="718"/>
      <c r="Q40" s="524">
        <f>fluxos!D4</f>
        <v>8.3333333333333332E-3</v>
      </c>
      <c r="R40" s="402"/>
      <c r="S40" s="402"/>
      <c r="T40" s="419"/>
      <c r="U40" s="402"/>
      <c r="V40" s="538"/>
      <c r="W40" s="408">
        <f>N40+N42</f>
        <v>4047.6566666666663</v>
      </c>
      <c r="X40" s="420">
        <f>+N66+N68</f>
        <v>6500</v>
      </c>
      <c r="AA40" s="715" t="e">
        <f ca="1">'Proposta 1 Via'!M16</f>
        <v>#REF!</v>
      </c>
      <c r="AB40" s="716"/>
      <c r="AC40" s="717"/>
      <c r="BK40" s="414" t="s">
        <v>205</v>
      </c>
      <c r="BW40" s="405">
        <f>'DADOS DOS EMPREENDIMENTOS'!A27</f>
        <v>0</v>
      </c>
      <c r="BX40" s="391">
        <f>'DADOS DOS EMPREENDIMENTOS'!B27</f>
        <v>0</v>
      </c>
      <c r="BY40" s="406">
        <f>'DADOS DOS EMPREENDIMENTOS'!C27</f>
        <v>0</v>
      </c>
      <c r="CC40" s="384"/>
    </row>
    <row r="41" spans="2:81" ht="19.5" hidden="1" customHeight="1" x14ac:dyDescent="0.2">
      <c r="B41" s="538"/>
      <c r="C41" s="445"/>
      <c r="D41" s="848"/>
      <c r="E41" s="484"/>
      <c r="F41" s="487"/>
      <c r="G41" s="487"/>
      <c r="H41" s="518"/>
      <c r="I41" s="487"/>
      <c r="J41" s="487"/>
      <c r="K41" s="487"/>
      <c r="L41" s="488"/>
      <c r="M41" s="488"/>
      <c r="N41" s="488"/>
      <c r="O41" s="488"/>
      <c r="P41" s="488"/>
      <c r="Q41" s="525"/>
      <c r="R41" s="402"/>
      <c r="S41" s="402"/>
      <c r="T41" s="419"/>
      <c r="U41" s="402"/>
      <c r="V41" s="538"/>
      <c r="W41" s="420">
        <f>W40-X39</f>
        <v>2023.8283333333331</v>
      </c>
      <c r="X41" s="384">
        <f>IF(W41&lt;0,"0",W41)</f>
        <v>2023.8283333333331</v>
      </c>
      <c r="AA41" s="421"/>
      <c r="AB41" s="422"/>
      <c r="AC41" s="423"/>
      <c r="BK41" s="414" t="s">
        <v>206</v>
      </c>
      <c r="BW41" s="405"/>
      <c r="BX41" s="391"/>
      <c r="BY41" s="406"/>
      <c r="CC41" s="384"/>
    </row>
    <row r="42" spans="2:81" ht="38.25" hidden="1" customHeight="1" x14ac:dyDescent="0.2">
      <c r="B42" s="538"/>
      <c r="C42" s="445"/>
      <c r="D42" s="848"/>
      <c r="E42" s="483" t="s">
        <v>350</v>
      </c>
      <c r="F42" s="728">
        <f>+fluxos!B5</f>
        <v>1</v>
      </c>
      <c r="G42" s="728"/>
      <c r="H42" s="647">
        <f ca="1">DATE(YEAR(H40),MONTH(H40)+(F42-F40),DAY(H40))</f>
        <v>43833</v>
      </c>
      <c r="I42" s="723">
        <v>1</v>
      </c>
      <c r="J42" s="724"/>
      <c r="K42" s="725"/>
      <c r="L42" s="729">
        <f>M8*Q42/I42</f>
        <v>2023.8283333333331</v>
      </c>
      <c r="M42" s="730"/>
      <c r="N42" s="718">
        <f>L42*I42</f>
        <v>2023.8283333333331</v>
      </c>
      <c r="O42" s="718"/>
      <c r="P42" s="718"/>
      <c r="Q42" s="524">
        <f>fluxos!D5</f>
        <v>8.3333333333333332E-3</v>
      </c>
      <c r="R42" s="402"/>
      <c r="S42" s="402"/>
      <c r="T42" s="419"/>
      <c r="U42" s="402"/>
      <c r="V42" s="538"/>
      <c r="X42" s="402"/>
      <c r="AA42" s="715" t="e">
        <f ca="1">'Proposta 1 Via'!M17</f>
        <v>#REF!</v>
      </c>
      <c r="AB42" s="716"/>
      <c r="AC42" s="717"/>
      <c r="BK42" s="414"/>
      <c r="BW42" s="405"/>
      <c r="BX42" s="391"/>
      <c r="BY42" s="406"/>
      <c r="CC42" s="384"/>
    </row>
    <row r="43" spans="2:81" ht="21.75" hidden="1" customHeight="1" x14ac:dyDescent="0.2">
      <c r="B43" s="538"/>
      <c r="C43" s="445"/>
      <c r="D43" s="848"/>
      <c r="E43" s="484"/>
      <c r="F43" s="487"/>
      <c r="G43" s="487"/>
      <c r="H43" s="518"/>
      <c r="I43" s="487"/>
      <c r="J43" s="487"/>
      <c r="K43" s="487"/>
      <c r="L43" s="488"/>
      <c r="M43" s="488"/>
      <c r="N43" s="488"/>
      <c r="O43" s="488"/>
      <c r="P43" s="488"/>
      <c r="Q43" s="525"/>
      <c r="R43" s="402"/>
      <c r="S43" s="402"/>
      <c r="T43" s="419"/>
      <c r="U43" s="402"/>
      <c r="V43" s="538"/>
      <c r="W43" s="408">
        <f>+N40+N42+N44</f>
        <v>6071.4849999999997</v>
      </c>
      <c r="X43" s="420">
        <f>W43-X40</f>
        <v>-428.51500000000033</v>
      </c>
      <c r="AA43" s="421"/>
      <c r="AB43" s="422"/>
      <c r="AC43" s="423"/>
      <c r="BK43" s="414"/>
      <c r="BW43" s="405"/>
      <c r="BX43" s="391"/>
      <c r="BY43" s="406"/>
      <c r="CC43" s="384"/>
    </row>
    <row r="44" spans="2:81" ht="38.25" hidden="1" customHeight="1" x14ac:dyDescent="0.2">
      <c r="B44" s="538"/>
      <c r="C44" s="445"/>
      <c r="D44" s="848"/>
      <c r="E44" s="483" t="s">
        <v>360</v>
      </c>
      <c r="F44" s="728">
        <f>fluxos!B6</f>
        <v>2</v>
      </c>
      <c r="G44" s="728"/>
      <c r="H44" s="647">
        <f ca="1">DATE(YEAR(H42),MONTH(H42)+(F44-F42),DAY(H42))</f>
        <v>43864</v>
      </c>
      <c r="I44" s="723">
        <v>1</v>
      </c>
      <c r="J44" s="724"/>
      <c r="K44" s="725"/>
      <c r="L44" s="729">
        <f>$M$8*Q44/I44</f>
        <v>2023.8283333333331</v>
      </c>
      <c r="M44" s="730"/>
      <c r="N44" s="718">
        <f>L44*I44</f>
        <v>2023.8283333333331</v>
      </c>
      <c r="O44" s="718"/>
      <c r="P44" s="718"/>
      <c r="Q44" s="524">
        <f>fluxos!D6</f>
        <v>8.3333333333333332E-3</v>
      </c>
      <c r="R44" s="402"/>
      <c r="S44" s="402"/>
      <c r="T44" s="419"/>
      <c r="U44" s="402"/>
      <c r="V44" s="538"/>
      <c r="X44" s="426">
        <f>X43/3</f>
        <v>-142.83833333333345</v>
      </c>
      <c r="AA44" s="715" t="e">
        <f ca="1">'Proposta 1 Via'!M18</f>
        <v>#REF!</v>
      </c>
      <c r="AB44" s="716"/>
      <c r="AC44" s="717"/>
      <c r="BK44" s="414"/>
      <c r="BW44" s="405"/>
      <c r="BX44" s="391"/>
      <c r="BY44" s="406"/>
      <c r="CC44" s="384"/>
    </row>
    <row r="45" spans="2:81" ht="21" hidden="1" customHeight="1" x14ac:dyDescent="0.2">
      <c r="B45" s="538"/>
      <c r="C45" s="445"/>
      <c r="D45" s="848"/>
      <c r="E45" s="483"/>
      <c r="F45" s="487"/>
      <c r="G45" s="487"/>
      <c r="H45" s="518"/>
      <c r="I45" s="498"/>
      <c r="J45" s="498"/>
      <c r="K45" s="498"/>
      <c r="L45" s="499"/>
      <c r="M45" s="488"/>
      <c r="N45" s="488"/>
      <c r="O45" s="488"/>
      <c r="P45" s="488"/>
      <c r="Q45" s="525"/>
      <c r="R45" s="402"/>
      <c r="S45" s="402"/>
      <c r="T45" s="419"/>
      <c r="U45" s="402"/>
      <c r="V45" s="538"/>
      <c r="X45" s="426"/>
      <c r="AA45" s="639"/>
      <c r="AB45" s="640"/>
      <c r="AC45" s="423"/>
      <c r="BK45" s="414"/>
      <c r="BW45" s="405"/>
      <c r="BX45" s="391"/>
      <c r="BY45" s="406"/>
      <c r="CC45" s="384"/>
    </row>
    <row r="46" spans="2:81" ht="38.25" hidden="1" customHeight="1" x14ac:dyDescent="0.2">
      <c r="B46" s="538"/>
      <c r="C46" s="445"/>
      <c r="D46" s="848"/>
      <c r="E46" s="483" t="s">
        <v>361</v>
      </c>
      <c r="F46" s="728">
        <f>fluxos!B7</f>
        <v>3</v>
      </c>
      <c r="G46" s="728"/>
      <c r="H46" s="647">
        <f ca="1">DATE(YEAR(H40),MONTH(H40)+(F46-F40),DAY(H40))</f>
        <v>43893</v>
      </c>
      <c r="I46" s="723">
        <v>1</v>
      </c>
      <c r="J46" s="724"/>
      <c r="K46" s="725"/>
      <c r="L46" s="729">
        <f>$M$8*Q46/I46</f>
        <v>2023.8283333333331</v>
      </c>
      <c r="M46" s="730"/>
      <c r="N46" s="718">
        <f>L46*I46</f>
        <v>2023.8283333333331</v>
      </c>
      <c r="O46" s="718"/>
      <c r="P46" s="718"/>
      <c r="Q46" s="524">
        <f>fluxos!D7</f>
        <v>8.3333333333333332E-3</v>
      </c>
      <c r="R46" s="402"/>
      <c r="S46" s="402"/>
      <c r="T46" s="419"/>
      <c r="U46" s="402"/>
      <c r="V46" s="538"/>
      <c r="X46" s="426"/>
      <c r="AA46" s="639"/>
      <c r="AB46" s="640"/>
      <c r="AC46" s="423"/>
      <c r="BK46" s="414"/>
      <c r="BW46" s="405"/>
      <c r="BX46" s="391"/>
      <c r="BY46" s="406"/>
      <c r="CC46" s="384"/>
    </row>
    <row r="47" spans="2:81" ht="38.25" hidden="1" customHeight="1" x14ac:dyDescent="0.2">
      <c r="B47" s="538"/>
      <c r="C47" s="445"/>
      <c r="D47" s="848"/>
      <c r="E47" s="483"/>
      <c r="F47" s="402"/>
      <c r="G47" s="402"/>
      <c r="H47" s="402"/>
      <c r="I47" s="402"/>
      <c r="J47" s="402"/>
      <c r="K47" s="402"/>
      <c r="L47" s="402"/>
      <c r="M47" s="402"/>
      <c r="N47" s="402"/>
      <c r="O47" s="402"/>
      <c r="P47" s="402"/>
      <c r="Q47" s="524"/>
      <c r="R47" s="402"/>
      <c r="S47" s="402"/>
      <c r="T47" s="419"/>
      <c r="U47" s="402"/>
      <c r="V47" s="538"/>
      <c r="X47" s="426"/>
      <c r="AA47" s="665"/>
      <c r="AB47" s="666"/>
      <c r="AC47" s="423"/>
      <c r="BK47" s="414"/>
      <c r="BW47" s="405"/>
      <c r="BX47" s="391"/>
      <c r="BY47" s="406"/>
      <c r="CC47" s="384"/>
    </row>
    <row r="48" spans="2:81" ht="38.25" hidden="1" customHeight="1" x14ac:dyDescent="0.2">
      <c r="B48" s="538"/>
      <c r="C48" s="445"/>
      <c r="D48" s="848"/>
      <c r="E48" s="483" t="s">
        <v>460</v>
      </c>
      <c r="F48" s="728">
        <f>fluxos!B9</f>
        <v>5</v>
      </c>
      <c r="G48" s="728"/>
      <c r="H48" s="664">
        <f ca="1">DATE(YEAR(H42),MONTH(H42)+(F48-F42),DAY(H42))</f>
        <v>43954</v>
      </c>
      <c r="I48" s="723">
        <v>1</v>
      </c>
      <c r="J48" s="724"/>
      <c r="K48" s="725"/>
      <c r="L48" s="729">
        <f>$M$8*Q48/I48</f>
        <v>2023.8283333333331</v>
      </c>
      <c r="M48" s="730"/>
      <c r="N48" s="718">
        <f>L48*I48</f>
        <v>2023.8283333333331</v>
      </c>
      <c r="O48" s="718"/>
      <c r="P48" s="718"/>
      <c r="Q48" s="524">
        <f>fluxos!D8</f>
        <v>8.3333333333333332E-3</v>
      </c>
      <c r="R48" s="402"/>
      <c r="S48" s="402"/>
      <c r="T48" s="419"/>
      <c r="U48" s="402"/>
      <c r="V48" s="538"/>
      <c r="X48" s="426"/>
      <c r="AA48" s="665"/>
      <c r="AB48" s="666"/>
      <c r="AC48" s="423"/>
      <c r="BK48" s="414"/>
      <c r="BW48" s="405"/>
      <c r="BX48" s="391"/>
      <c r="BY48" s="406"/>
      <c r="CC48" s="384"/>
    </row>
    <row r="49" spans="2:81" ht="38.25" hidden="1" customHeight="1" x14ac:dyDescent="0.2">
      <c r="B49" s="538"/>
      <c r="C49" s="445"/>
      <c r="D49" s="848"/>
      <c r="E49" s="483"/>
      <c r="F49" s="402"/>
      <c r="G49" s="402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  <c r="T49" s="419"/>
      <c r="U49" s="402"/>
      <c r="V49" s="538"/>
      <c r="X49" s="426"/>
      <c r="AA49" s="665"/>
      <c r="AB49" s="666"/>
      <c r="AC49" s="423"/>
      <c r="BK49" s="414"/>
      <c r="BW49" s="405"/>
      <c r="BX49" s="391"/>
      <c r="BY49" s="406"/>
      <c r="CC49" s="384"/>
    </row>
    <row r="50" spans="2:81" ht="38.25" hidden="1" customHeight="1" x14ac:dyDescent="0.2">
      <c r="B50" s="538"/>
      <c r="C50" s="445"/>
      <c r="D50" s="848"/>
      <c r="E50" s="483" t="s">
        <v>461</v>
      </c>
      <c r="F50" s="728">
        <f>fluxos!B11</f>
        <v>6</v>
      </c>
      <c r="G50" s="728"/>
      <c r="H50" s="664">
        <f ca="1">DATE(YEAR(H44),MONTH(H44)+(F50-F44),DAY(H44))</f>
        <v>43985</v>
      </c>
      <c r="I50" s="723">
        <v>1</v>
      </c>
      <c r="J50" s="724"/>
      <c r="K50" s="725"/>
      <c r="L50" s="729">
        <f>$M$8*Q50/I50</f>
        <v>2023.8283333333331</v>
      </c>
      <c r="M50" s="730"/>
      <c r="N50" s="718">
        <f>L50*I50</f>
        <v>2023.8283333333331</v>
      </c>
      <c r="O50" s="718"/>
      <c r="P50" s="718"/>
      <c r="Q50" s="524">
        <f>fluxos!D9</f>
        <v>8.3333333333333332E-3</v>
      </c>
      <c r="R50" s="402"/>
      <c r="S50" s="402"/>
      <c r="T50" s="419"/>
      <c r="U50" s="402"/>
      <c r="V50" s="538"/>
      <c r="X50" s="426"/>
      <c r="AA50" s="665"/>
      <c r="AB50" s="666"/>
      <c r="AC50" s="423"/>
      <c r="BK50" s="414"/>
      <c r="BW50" s="405"/>
      <c r="BX50" s="391"/>
      <c r="BY50" s="406"/>
      <c r="CC50" s="384"/>
    </row>
    <row r="51" spans="2:81" ht="29.25" hidden="1" customHeight="1" x14ac:dyDescent="0.2">
      <c r="B51" s="538"/>
      <c r="C51" s="445"/>
      <c r="D51" s="848"/>
      <c r="E51" s="485"/>
      <c r="F51" s="468"/>
      <c r="G51" s="468"/>
      <c r="H51" s="468"/>
      <c r="I51" s="731"/>
      <c r="J51" s="731"/>
      <c r="K51" s="731"/>
      <c r="L51" s="489"/>
      <c r="M51" s="637"/>
      <c r="N51" s="705"/>
      <c r="O51" s="705"/>
      <c r="P51" s="468"/>
      <c r="Q51" s="524"/>
      <c r="R51" s="402"/>
      <c r="S51" s="402"/>
      <c r="T51" s="419"/>
      <c r="U51" s="402"/>
      <c r="V51" s="538"/>
      <c r="X51" s="402"/>
      <c r="AA51" s="703"/>
      <c r="AB51" s="704"/>
      <c r="AC51" s="427"/>
      <c r="BK51" s="414"/>
      <c r="BW51" s="405">
        <f>'DADOS DOS EMPREENDIMENTOS'!A28</f>
        <v>0</v>
      </c>
      <c r="BX51" s="391">
        <f>'DADOS DOS EMPREENDIMENTOS'!B28</f>
        <v>0</v>
      </c>
      <c r="BY51" s="406">
        <f>'DADOS DOS EMPREENDIMENTOS'!C28</f>
        <v>0</v>
      </c>
      <c r="CC51" s="384"/>
    </row>
    <row r="52" spans="2:81" ht="38.25" hidden="1" customHeight="1" x14ac:dyDescent="0.2">
      <c r="B52" s="538"/>
      <c r="C52" s="445"/>
      <c r="D52" s="848"/>
      <c r="E52" s="483" t="str">
        <f>+fluxos!A10</f>
        <v>Anual</v>
      </c>
      <c r="F52" s="723">
        <f>+fluxos!B10</f>
        <v>13</v>
      </c>
      <c r="G52" s="725"/>
      <c r="H52" s="520">
        <f ca="1">DATE(YEAR(H40),MONTH(H40)+(F52-F40),DAY(H40))</f>
        <v>44199</v>
      </c>
      <c r="I52" s="723">
        <f>fluxos!C10</f>
        <v>2</v>
      </c>
      <c r="J52" s="724"/>
      <c r="K52" s="725"/>
      <c r="L52" s="729">
        <f>$M$8*Q52/I52</f>
        <v>3642.8909999999996</v>
      </c>
      <c r="M52" s="730"/>
      <c r="N52" s="729">
        <f>L52*I52</f>
        <v>7285.7819999999992</v>
      </c>
      <c r="O52" s="749"/>
      <c r="P52" s="730"/>
      <c r="Q52" s="524">
        <f>fluxos!D10</f>
        <v>0.03</v>
      </c>
      <c r="R52" s="402"/>
      <c r="S52" s="402"/>
      <c r="T52" s="402"/>
      <c r="U52" s="527"/>
      <c r="V52" s="538"/>
      <c r="X52" s="402"/>
      <c r="AA52" s="715" t="e">
        <f ca="1">'Proposta 1 Via'!M19</f>
        <v>#REF!</v>
      </c>
      <c r="AB52" s="716"/>
      <c r="AC52" s="717"/>
      <c r="BK52" s="384" t="s">
        <v>150</v>
      </c>
      <c r="BL52" s="384">
        <v>1</v>
      </c>
      <c r="BW52" s="405">
        <f>'DADOS DOS EMPREENDIMENTOS'!A29</f>
        <v>0</v>
      </c>
      <c r="BX52" s="391">
        <f>'DADOS DOS EMPREENDIMENTOS'!B29</f>
        <v>0</v>
      </c>
      <c r="BY52" s="406">
        <f>'DADOS DOS EMPREENDIMENTOS'!C29</f>
        <v>0</v>
      </c>
      <c r="CC52" s="384"/>
    </row>
    <row r="53" spans="2:81" ht="19.5" hidden="1" customHeight="1" x14ac:dyDescent="0.2">
      <c r="B53" s="538"/>
      <c r="C53" s="445"/>
      <c r="D53" s="848"/>
      <c r="E53" s="485"/>
      <c r="F53" s="468"/>
      <c r="G53" s="468"/>
      <c r="H53" s="468"/>
      <c r="I53" s="731"/>
      <c r="J53" s="731"/>
      <c r="K53" s="731"/>
      <c r="L53" s="490"/>
      <c r="M53" s="637"/>
      <c r="N53" s="705"/>
      <c r="O53" s="705"/>
      <c r="P53" s="468"/>
      <c r="Q53" s="524"/>
      <c r="R53" s="402"/>
      <c r="S53" s="402"/>
      <c r="T53" s="419"/>
      <c r="U53" s="402"/>
      <c r="V53" s="538"/>
      <c r="X53" s="402"/>
      <c r="AA53" s="747"/>
      <c r="AB53" s="748"/>
      <c r="AC53" s="427"/>
      <c r="BW53" s="405">
        <f>'DADOS DOS EMPREENDIMENTOS'!A30</f>
        <v>0</v>
      </c>
      <c r="BX53" s="391">
        <f>'DADOS DOS EMPREENDIMENTOS'!B30</f>
        <v>0</v>
      </c>
      <c r="BY53" s="406">
        <f>'DADOS DOS EMPREENDIMENTOS'!C30</f>
        <v>0</v>
      </c>
      <c r="CC53" s="384"/>
    </row>
    <row r="54" spans="2:81" ht="19.5" hidden="1" customHeight="1" x14ac:dyDescent="0.2">
      <c r="B54" s="538"/>
      <c r="C54" s="445"/>
      <c r="D54" s="848"/>
      <c r="E54" s="485"/>
      <c r="F54" s="468"/>
      <c r="G54" s="468"/>
      <c r="H54" s="468"/>
      <c r="I54" s="643"/>
      <c r="J54" s="643"/>
      <c r="K54" s="643"/>
      <c r="L54" s="637"/>
      <c r="M54" s="637"/>
      <c r="N54" s="637"/>
      <c r="O54" s="637"/>
      <c r="P54" s="468"/>
      <c r="Q54" s="524"/>
      <c r="R54" s="402"/>
      <c r="S54" s="402"/>
      <c r="T54" s="419"/>
      <c r="U54" s="429"/>
      <c r="V54" s="538"/>
      <c r="X54" s="402"/>
      <c r="AA54" s="430"/>
      <c r="AB54" s="425"/>
      <c r="AC54" s="427"/>
      <c r="BW54" s="405">
        <f>'DADOS DOS EMPREENDIMENTOS'!A32</f>
        <v>0</v>
      </c>
      <c r="BX54" s="391">
        <f>'DADOS DOS EMPREENDIMENTOS'!B32</f>
        <v>0</v>
      </c>
      <c r="BY54" s="406">
        <f>'DADOS DOS EMPREENDIMENTOS'!C32</f>
        <v>0</v>
      </c>
      <c r="CC54" s="384"/>
    </row>
    <row r="55" spans="2:81" ht="38.25" hidden="1" customHeight="1" x14ac:dyDescent="0.2">
      <c r="B55" s="538"/>
      <c r="C55" s="445"/>
      <c r="D55" s="848"/>
      <c r="E55" s="483" t="str">
        <f>+fluxos!A11</f>
        <v>Mensal 2</v>
      </c>
      <c r="F55" s="847">
        <f>+fluxos!B11</f>
        <v>6</v>
      </c>
      <c r="G55" s="847"/>
      <c r="H55" s="647">
        <f ca="1">DATE(YEAR(H40),MONTH(H40)+(F55-F40),DAY(H40))</f>
        <v>43985</v>
      </c>
      <c r="I55" s="723">
        <f ca="1">fluxos!C11</f>
        <v>25</v>
      </c>
      <c r="J55" s="724"/>
      <c r="K55" s="725"/>
      <c r="L55" s="718">
        <f ca="1">(M8*Q55)/I55</f>
        <v>1165.7251199999998</v>
      </c>
      <c r="M55" s="718"/>
      <c r="N55" s="718">
        <f ca="1">L55*I55</f>
        <v>29143.127999999997</v>
      </c>
      <c r="O55" s="718"/>
      <c r="P55" s="718"/>
      <c r="Q55" s="526">
        <f>fluxos!D11</f>
        <v>0.12</v>
      </c>
      <c r="R55" s="402"/>
      <c r="S55" s="402"/>
      <c r="T55" s="419"/>
      <c r="U55" s="431">
        <f>M8*2%</f>
        <v>4857.1880000000001</v>
      </c>
      <c r="V55" s="538"/>
      <c r="X55" s="402"/>
      <c r="AA55" s="715" t="e">
        <f ca="1">'Proposta 1 Via'!M20</f>
        <v>#REF!</v>
      </c>
      <c r="AB55" s="716"/>
      <c r="AC55" s="717"/>
      <c r="BW55" s="405">
        <f>'DADOS DOS EMPREENDIMENTOS'!A33</f>
        <v>0</v>
      </c>
      <c r="BX55" s="391">
        <f>'DADOS DOS EMPREENDIMENTOS'!B33</f>
        <v>0</v>
      </c>
      <c r="BY55" s="406">
        <f>'DADOS DOS EMPREENDIMENTOS'!C33</f>
        <v>0</v>
      </c>
      <c r="CC55" s="384"/>
    </row>
    <row r="56" spans="2:81" ht="19.5" hidden="1" customHeight="1" x14ac:dyDescent="0.2">
      <c r="B56" s="538"/>
      <c r="C56" s="445"/>
      <c r="D56" s="848"/>
      <c r="E56" s="485"/>
      <c r="F56" s="468"/>
      <c r="G56" s="468"/>
      <c r="H56" s="468"/>
      <c r="I56" s="731"/>
      <c r="J56" s="731"/>
      <c r="K56" s="731"/>
      <c r="L56" s="490"/>
      <c r="M56" s="637"/>
      <c r="N56" s="705"/>
      <c r="O56" s="705"/>
      <c r="P56" s="468"/>
      <c r="Q56" s="524"/>
      <c r="R56" s="402"/>
      <c r="S56" s="402"/>
      <c r="T56" s="419"/>
      <c r="U56" s="402"/>
      <c r="V56" s="538"/>
      <c r="X56" s="402"/>
      <c r="AA56" s="747"/>
      <c r="AB56" s="748"/>
      <c r="AC56" s="427"/>
      <c r="BW56" s="405">
        <f>'DADOS DOS EMPREENDIMENTOS'!A34</f>
        <v>0</v>
      </c>
      <c r="BX56" s="391">
        <f>'DADOS DOS EMPREENDIMENTOS'!B34</f>
        <v>0</v>
      </c>
      <c r="BY56" s="406">
        <f>'DADOS DOS EMPREENDIMENTOS'!C34</f>
        <v>0</v>
      </c>
      <c r="CC56" s="384"/>
    </row>
    <row r="57" spans="2:81" ht="19.5" hidden="1" customHeight="1" x14ac:dyDescent="0.2">
      <c r="B57" s="538"/>
      <c r="C57" s="445"/>
      <c r="D57" s="848"/>
      <c r="E57" s="485"/>
      <c r="F57" s="468"/>
      <c r="G57" s="468"/>
      <c r="H57" s="468"/>
      <c r="I57" s="643"/>
      <c r="J57" s="643"/>
      <c r="K57" s="643"/>
      <c r="L57" s="637"/>
      <c r="M57" s="637"/>
      <c r="N57" s="637"/>
      <c r="O57" s="637"/>
      <c r="P57" s="468"/>
      <c r="Q57" s="641"/>
      <c r="R57" s="402"/>
      <c r="S57" s="402"/>
      <c r="T57" s="419"/>
      <c r="U57" s="402"/>
      <c r="V57" s="538"/>
      <c r="X57" s="402"/>
      <c r="AA57" s="430"/>
      <c r="AB57" s="425"/>
      <c r="AC57" s="427"/>
      <c r="BW57" s="405"/>
      <c r="BX57" s="391"/>
      <c r="BY57" s="406"/>
      <c r="CC57" s="384"/>
    </row>
    <row r="58" spans="2:81" ht="38.25" hidden="1" customHeight="1" x14ac:dyDescent="0.2">
      <c r="B58" s="538"/>
      <c r="C58" s="445"/>
      <c r="D58" s="848"/>
      <c r="E58" s="483" t="str">
        <f>+fluxos!A12</f>
        <v>Repasse</v>
      </c>
      <c r="F58" s="740">
        <f>fluxos!B12</f>
        <v>5</v>
      </c>
      <c r="G58" s="740"/>
      <c r="H58" s="647">
        <f ca="1">DATE(YEAR(H40),MONTH(H40)+(F58-F40)+0,DAY(H40))</f>
        <v>43954</v>
      </c>
      <c r="I58" s="723">
        <v>1</v>
      </c>
      <c r="J58" s="724"/>
      <c r="K58" s="725"/>
      <c r="L58" s="742">
        <f ca="1">M8-N40-N42-N44-N52-N55-N46-N48-N50</f>
        <v>194287.51999999996</v>
      </c>
      <c r="M58" s="742"/>
      <c r="N58" s="718">
        <f ca="1">L58*I58</f>
        <v>194287.51999999996</v>
      </c>
      <c r="O58" s="718"/>
      <c r="P58" s="718"/>
      <c r="Q58" s="526">
        <v>0.8</v>
      </c>
      <c r="R58" s="402"/>
      <c r="S58" s="402"/>
      <c r="T58" s="419"/>
      <c r="U58" s="402"/>
      <c r="V58" s="538"/>
      <c r="X58" s="402"/>
      <c r="AA58" s="715" t="e">
        <f ca="1">'Proposta 1 Via'!M21</f>
        <v>#REF!</v>
      </c>
      <c r="AB58" s="716"/>
      <c r="AC58" s="717"/>
      <c r="BW58" s="405">
        <f>'DADOS DOS EMPREENDIMENTOS'!A35</f>
        <v>0</v>
      </c>
      <c r="BX58" s="391">
        <f>'DADOS DOS EMPREENDIMENTOS'!B35</f>
        <v>0</v>
      </c>
      <c r="BY58" s="406">
        <f>'DADOS DOS EMPREENDIMENTOS'!C35</f>
        <v>0</v>
      </c>
      <c r="CC58" s="384"/>
    </row>
    <row r="59" spans="2:81" ht="19.5" hidden="1" customHeight="1" x14ac:dyDescent="0.2">
      <c r="B59" s="538"/>
      <c r="C59" s="445"/>
      <c r="D59" s="848"/>
      <c r="E59" s="432"/>
      <c r="F59" s="468"/>
      <c r="G59" s="468"/>
      <c r="H59" s="468"/>
      <c r="I59" s="407"/>
      <c r="J59" s="407"/>
      <c r="K59" s="491"/>
      <c r="L59" s="407"/>
      <c r="M59" s="468"/>
      <c r="N59" s="469"/>
      <c r="O59" s="469"/>
      <c r="P59" s="468"/>
      <c r="Q59" s="402"/>
      <c r="R59" s="402"/>
      <c r="S59" s="402"/>
      <c r="T59" s="419"/>
      <c r="U59" s="402"/>
      <c r="V59" s="538"/>
      <c r="W59" s="492"/>
      <c r="X59" s="493"/>
      <c r="AA59" s="434"/>
      <c r="AB59" s="433"/>
      <c r="AC59" s="435"/>
      <c r="BW59" s="405">
        <f>'DADOS DOS EMPREENDIMENTOS'!A36</f>
        <v>0</v>
      </c>
      <c r="BX59" s="391">
        <f>'DADOS DOS EMPREENDIMENTOS'!B36</f>
        <v>0</v>
      </c>
      <c r="BY59" s="406">
        <f>'DADOS DOS EMPREENDIMENTOS'!C36</f>
        <v>0</v>
      </c>
      <c r="CC59" s="384"/>
    </row>
    <row r="60" spans="2:81" ht="38.25" hidden="1" customHeight="1" x14ac:dyDescent="0.2">
      <c r="B60" s="538"/>
      <c r="C60" s="445"/>
      <c r="D60" s="848"/>
      <c r="E60" s="432"/>
      <c r="F60" s="468"/>
      <c r="G60" s="468"/>
      <c r="H60" s="445"/>
      <c r="I60" s="496"/>
      <c r="J60" s="497"/>
      <c r="K60" s="468"/>
      <c r="L60" s="738" t="s">
        <v>60</v>
      </c>
      <c r="M60" s="738"/>
      <c r="N60" s="718">
        <f ca="1">SUM(N58,N42,N44,N55,N52,N40,N46,N50,N48)</f>
        <v>242859.4</v>
      </c>
      <c r="O60" s="718"/>
      <c r="P60" s="718"/>
      <c r="Q60" s="402"/>
      <c r="R60" s="402"/>
      <c r="S60" s="402"/>
      <c r="T60" s="419"/>
      <c r="U60" s="402"/>
      <c r="V60" s="538"/>
      <c r="AA60" s="750" t="e">
        <f>SUM(AA58,AA55,#REF!,AA52,AA40,AA42,AA44,#REF!)</f>
        <v>#REF!</v>
      </c>
      <c r="AB60" s="751"/>
      <c r="AC60" s="752"/>
      <c r="BW60" s="405">
        <f>'DADOS DOS EMPREENDIMENTOS'!A37</f>
        <v>0</v>
      </c>
      <c r="BX60" s="391">
        <f>'DADOS DOS EMPREENDIMENTOS'!B37</f>
        <v>0</v>
      </c>
      <c r="BY60" s="406">
        <f>'DADOS DOS EMPREENDIMENTOS'!C37</f>
        <v>0</v>
      </c>
      <c r="CC60" s="384"/>
    </row>
    <row r="61" spans="2:81" ht="15" hidden="1" customHeight="1" x14ac:dyDescent="0.2">
      <c r="B61" s="538"/>
      <c r="C61" s="445"/>
      <c r="D61" s="849"/>
      <c r="E61" s="436"/>
      <c r="F61" s="436"/>
      <c r="G61" s="436"/>
      <c r="H61" s="436"/>
      <c r="I61" s="436"/>
      <c r="J61" s="436"/>
      <c r="K61" s="436"/>
      <c r="L61" s="436"/>
      <c r="M61" s="436"/>
      <c r="N61" s="436"/>
      <c r="O61" s="436"/>
      <c r="P61" s="436"/>
      <c r="Q61" s="436"/>
      <c r="R61" s="436"/>
      <c r="S61" s="436"/>
      <c r="T61" s="437"/>
      <c r="U61" s="402"/>
      <c r="V61" s="538"/>
      <c r="BW61" s="405">
        <f>'DADOS DOS EMPREENDIMENTOS'!A38</f>
        <v>0</v>
      </c>
      <c r="BX61" s="391">
        <f>'DADOS DOS EMPREENDIMENTOS'!B38</f>
        <v>0</v>
      </c>
      <c r="BY61" s="406">
        <f>'DADOS DOS EMPREENDIMENTOS'!C38</f>
        <v>0</v>
      </c>
      <c r="CC61" s="384"/>
    </row>
    <row r="62" spans="2:81" ht="9.75" customHeight="1" thickBot="1" x14ac:dyDescent="0.25">
      <c r="B62" s="538"/>
      <c r="C62" s="445"/>
      <c r="D62" s="508"/>
      <c r="E62" s="508"/>
      <c r="F62" s="508"/>
      <c r="G62" s="508"/>
      <c r="H62" s="508"/>
      <c r="I62" s="508"/>
      <c r="J62" s="508"/>
      <c r="K62" s="508"/>
      <c r="L62" s="508"/>
      <c r="M62" s="508"/>
      <c r="N62" s="508"/>
      <c r="O62" s="508"/>
      <c r="P62" s="508"/>
      <c r="Q62" s="508"/>
      <c r="R62" s="508"/>
      <c r="S62" s="508"/>
      <c r="T62" s="508"/>
      <c r="U62" s="522"/>
      <c r="V62" s="538"/>
      <c r="BW62" s="405">
        <f>'DADOS DOS EMPREENDIMENTOS'!A39</f>
        <v>0</v>
      </c>
      <c r="BX62" s="391">
        <f>'DADOS DOS EMPREENDIMENTOS'!B39</f>
        <v>0</v>
      </c>
      <c r="BY62" s="406">
        <f>'DADOS DOS EMPREENDIMENTOS'!C39</f>
        <v>0</v>
      </c>
      <c r="CC62" s="384"/>
    </row>
    <row r="63" spans="2:81" ht="24" customHeight="1" thickBot="1" x14ac:dyDescent="0.25">
      <c r="B63" s="538"/>
      <c r="C63" s="445"/>
      <c r="D63" s="522"/>
      <c r="E63" s="508"/>
      <c r="F63" s="508"/>
      <c r="G63" s="508"/>
      <c r="H63" s="508"/>
      <c r="I63" s="508"/>
      <c r="J63" s="508"/>
      <c r="K63" s="508"/>
      <c r="L63" s="508"/>
      <c r="M63" s="508"/>
      <c r="N63" s="508"/>
      <c r="O63" s="508"/>
      <c r="P63" s="508"/>
      <c r="Q63" s="508"/>
      <c r="R63" s="508"/>
      <c r="S63" s="508"/>
      <c r="T63" s="522"/>
      <c r="U63" s="522"/>
      <c r="V63" s="538"/>
      <c r="BW63" s="405">
        <f>'DADOS DOS EMPREENDIMENTOS'!A40</f>
        <v>0</v>
      </c>
      <c r="BX63" s="391">
        <f>'DADOS DOS EMPREENDIMENTOS'!B40</f>
        <v>0</v>
      </c>
      <c r="BY63" s="406">
        <f>'DADOS DOS EMPREENDIMENTOS'!C40</f>
        <v>0</v>
      </c>
      <c r="CC63" s="384"/>
    </row>
    <row r="64" spans="2:81" ht="15" customHeight="1" x14ac:dyDescent="0.2">
      <c r="B64" s="538"/>
      <c r="C64" s="445"/>
      <c r="D64" s="794" t="s">
        <v>357</v>
      </c>
      <c r="E64" s="415"/>
      <c r="F64" s="737" t="s">
        <v>152</v>
      </c>
      <c r="G64" s="737"/>
      <c r="H64" s="737" t="s">
        <v>154</v>
      </c>
      <c r="I64" s="737"/>
      <c r="J64" s="737" t="s">
        <v>157</v>
      </c>
      <c r="K64" s="737"/>
      <c r="L64" s="737" t="s">
        <v>153</v>
      </c>
      <c r="M64" s="737"/>
      <c r="N64" s="737" t="s">
        <v>60</v>
      </c>
      <c r="O64" s="737"/>
      <c r="P64" s="737"/>
      <c r="Q64" s="415"/>
      <c r="R64" s="415"/>
      <c r="S64" s="415"/>
      <c r="T64" s="415"/>
      <c r="U64" s="538"/>
      <c r="V64" s="538"/>
      <c r="BW64" s="405">
        <f>'DADOS DOS EMPREENDIMENTOS'!A41</f>
        <v>0</v>
      </c>
      <c r="BX64" s="391">
        <f>'DADOS DOS EMPREENDIMENTOS'!B41</f>
        <v>0</v>
      </c>
      <c r="BY64" s="406">
        <f>'DADOS DOS EMPREENDIMENTOS'!C41</f>
        <v>0</v>
      </c>
      <c r="CC64" s="384"/>
    </row>
    <row r="65" spans="2:83" ht="25.5" customHeight="1" x14ac:dyDescent="0.2">
      <c r="B65" s="538"/>
      <c r="C65" s="445"/>
      <c r="D65" s="795"/>
      <c r="E65" s="402"/>
      <c r="F65" s="738"/>
      <c r="G65" s="738"/>
      <c r="H65" s="738"/>
      <c r="I65" s="738"/>
      <c r="J65" s="738" t="s">
        <v>157</v>
      </c>
      <c r="K65" s="738"/>
      <c r="L65" s="738"/>
      <c r="M65" s="738"/>
      <c r="N65" s="738"/>
      <c r="O65" s="738"/>
      <c r="P65" s="738"/>
      <c r="Q65" s="402"/>
      <c r="R65" s="402"/>
      <c r="S65" s="402"/>
      <c r="T65" s="402"/>
      <c r="U65" s="538"/>
      <c r="V65" s="538"/>
      <c r="BW65" s="405">
        <f>'DADOS DOS EMPREENDIMENTOS'!A42</f>
        <v>0</v>
      </c>
      <c r="BX65" s="391">
        <f>'DADOS DOS EMPREENDIMENTOS'!B42</f>
        <v>0</v>
      </c>
      <c r="BY65" s="406">
        <f>'DADOS DOS EMPREENDIMENTOS'!C42</f>
        <v>0</v>
      </c>
      <c r="CC65" s="384"/>
    </row>
    <row r="66" spans="2:83" ht="38.25" customHeight="1" x14ac:dyDescent="0.2">
      <c r="B66" s="538"/>
      <c r="C66" s="445"/>
      <c r="D66" s="795"/>
      <c r="E66" s="642" t="s">
        <v>44</v>
      </c>
      <c r="F66" s="841">
        <v>1</v>
      </c>
      <c r="G66" s="841"/>
      <c r="H66" s="741">
        <v>5000</v>
      </c>
      <c r="I66" s="741"/>
      <c r="J66" s="841">
        <v>0</v>
      </c>
      <c r="K66" s="841"/>
      <c r="L66" s="834">
        <f ca="1">IF(H10&lt;43770,43770,H10)</f>
        <v>43802</v>
      </c>
      <c r="M66" s="834"/>
      <c r="N66" s="764">
        <f>F66*H66</f>
        <v>5000</v>
      </c>
      <c r="O66" s="764"/>
      <c r="P66" s="764"/>
      <c r="Q66" s="840" t="str">
        <f>IF((N66+N68+N72)&lt;'Premissas e Calculos'!$J$33,"Entrada Menor que de Tabela",IF(F66&lt;&gt;0,IF(N66&lt;'Premissas e Calculos'!$J$33,CONCATENATE("1ª parcela do ato insuficiente, mínimo de R$ ",'Premissas e Calculos'!$J$33," 
nessa parcela."),IF(F66&gt;I40,CONCATENATE("Parcela no máximo em ",I40," vez"),"OK")),"Informar Entrada"))</f>
        <v>OK</v>
      </c>
      <c r="R66" s="840"/>
      <c r="S66" s="840"/>
      <c r="T66" s="402"/>
      <c r="U66" s="538"/>
      <c r="V66" s="538"/>
      <c r="CC66" s="384"/>
    </row>
    <row r="67" spans="2:83" ht="15" customHeight="1" x14ac:dyDescent="0.2">
      <c r="B67" s="538"/>
      <c r="C67" s="445"/>
      <c r="D67" s="795"/>
      <c r="E67" s="642"/>
      <c r="F67" s="581"/>
      <c r="G67" s="581"/>
      <c r="H67" s="581"/>
      <c r="I67" s="613"/>
      <c r="J67" s="611"/>
      <c r="K67" s="611"/>
      <c r="L67" s="610"/>
      <c r="M67" s="470"/>
      <c r="N67" s="616"/>
      <c r="O67" s="616"/>
      <c r="P67" s="470"/>
      <c r="Q67" s="402"/>
      <c r="R67" s="439"/>
      <c r="S67" s="433"/>
      <c r="T67" s="539"/>
      <c r="U67" s="402"/>
      <c r="V67" s="538"/>
      <c r="CC67" s="384"/>
    </row>
    <row r="68" spans="2:83" ht="38.25" customHeight="1" x14ac:dyDescent="0.2">
      <c r="B68" s="538"/>
      <c r="C68" s="445"/>
      <c r="D68" s="795"/>
      <c r="E68" s="642" t="s">
        <v>350</v>
      </c>
      <c r="F68" s="739">
        <v>1</v>
      </c>
      <c r="G68" s="739"/>
      <c r="H68" s="741">
        <v>1500</v>
      </c>
      <c r="I68" s="741"/>
      <c r="J68" s="777">
        <v>1</v>
      </c>
      <c r="K68" s="777"/>
      <c r="L68" s="834">
        <f ca="1">DATE(YEAR(L66),MONTH(L66)+(J68-J66),1)</f>
        <v>43831</v>
      </c>
      <c r="M68" s="834"/>
      <c r="N68" s="764">
        <f>F68*H68</f>
        <v>1500</v>
      </c>
      <c r="O68" s="764"/>
      <c r="P68" s="764"/>
      <c r="Q68" s="844"/>
      <c r="R68" s="844"/>
      <c r="S68" s="844"/>
      <c r="T68" s="402"/>
      <c r="U68" s="538"/>
      <c r="V68" s="538"/>
      <c r="CC68" s="384"/>
    </row>
    <row r="69" spans="2:83" ht="15" customHeight="1" x14ac:dyDescent="0.2">
      <c r="B69" s="538"/>
      <c r="C69" s="445"/>
      <c r="D69" s="795"/>
      <c r="E69" s="642"/>
      <c r="F69" s="581"/>
      <c r="G69" s="581"/>
      <c r="H69" s="581"/>
      <c r="I69" s="613"/>
      <c r="J69" s="611"/>
      <c r="K69" s="611"/>
      <c r="L69" s="610"/>
      <c r="M69" s="470"/>
      <c r="N69" s="616"/>
      <c r="O69" s="616"/>
      <c r="P69" s="470"/>
      <c r="Q69" s="399"/>
      <c r="R69" s="607"/>
      <c r="S69" s="608"/>
      <c r="T69" s="539"/>
      <c r="U69" s="402"/>
      <c r="V69" s="538"/>
      <c r="CC69" s="384"/>
    </row>
    <row r="70" spans="2:83" ht="26.25" hidden="1" customHeight="1" x14ac:dyDescent="0.2">
      <c r="B70" s="538"/>
      <c r="C70" s="445"/>
      <c r="D70" s="795"/>
      <c r="E70" s="642" t="s">
        <v>150</v>
      </c>
      <c r="F70" s="804">
        <v>0</v>
      </c>
      <c r="G70" s="805"/>
      <c r="H70" s="802">
        <v>0</v>
      </c>
      <c r="I70" s="803"/>
      <c r="J70" s="800">
        <v>2</v>
      </c>
      <c r="K70" s="801"/>
      <c r="L70" s="861">
        <f ca="1">DATE(YEAR(L66),MONTH(L66)+(J70-J66),1)</f>
        <v>43862</v>
      </c>
      <c r="M70" s="862"/>
      <c r="N70" s="797">
        <f>F70*H70</f>
        <v>0</v>
      </c>
      <c r="O70" s="798"/>
      <c r="P70" s="799"/>
      <c r="Q70" s="842" t="str">
        <f>IF(F70&lt;&gt;0,IF(N70&lt;'Simulador CEF'!X44,CONCATENATE("parcela de entrada insuficiente, mínimo de R$ ",'Simulador CEF'!X44," 
nessa parcela."),IF(F70&gt;I44, CONCATENATE("Parcela no máximo em ",I44," vez"),"OK")),"Informar Entrada")</f>
        <v>Informar Entrada</v>
      </c>
      <c r="R70" s="843"/>
      <c r="S70" s="843"/>
      <c r="T70" s="539"/>
      <c r="U70" s="402"/>
      <c r="V70" s="538"/>
      <c r="CC70" s="384"/>
    </row>
    <row r="71" spans="2:83" ht="21" hidden="1" customHeight="1" x14ac:dyDescent="0.2">
      <c r="B71" s="538"/>
      <c r="C71" s="445"/>
      <c r="D71" s="795"/>
      <c r="E71" s="642"/>
      <c r="F71" s="581"/>
      <c r="G71" s="581"/>
      <c r="H71" s="581"/>
      <c r="I71" s="613"/>
      <c r="J71" s="611"/>
      <c r="K71" s="611"/>
      <c r="L71" s="610"/>
      <c r="M71" s="470"/>
      <c r="N71" s="616"/>
      <c r="O71" s="616"/>
      <c r="P71" s="470"/>
      <c r="Q71" s="399"/>
      <c r="R71" s="607"/>
      <c r="S71" s="608"/>
      <c r="T71" s="539"/>
      <c r="U71" s="402"/>
      <c r="V71" s="538"/>
      <c r="CC71" s="384"/>
    </row>
    <row r="72" spans="2:83" ht="38.25" customHeight="1" x14ac:dyDescent="0.2">
      <c r="B72" s="538"/>
      <c r="C72" s="445"/>
      <c r="D72" s="795"/>
      <c r="E72" s="642" t="s">
        <v>463</v>
      </c>
      <c r="F72" s="739">
        <v>1</v>
      </c>
      <c r="G72" s="739"/>
      <c r="H72" s="741">
        <v>1500</v>
      </c>
      <c r="I72" s="741"/>
      <c r="J72" s="777">
        <v>2</v>
      </c>
      <c r="K72" s="777"/>
      <c r="L72" s="834">
        <f ca="1">DATE(YEAR(L66),MONTH(L66)+(J72-J66),1)</f>
        <v>43862</v>
      </c>
      <c r="M72" s="834"/>
      <c r="N72" s="764">
        <f>F72*H72</f>
        <v>1500</v>
      </c>
      <c r="O72" s="764"/>
      <c r="P72" s="764"/>
      <c r="Q72" s="844"/>
      <c r="R72" s="844"/>
      <c r="S72" s="844"/>
      <c r="T72" s="539"/>
      <c r="U72" s="402"/>
      <c r="V72" s="538"/>
      <c r="CC72" s="440"/>
    </row>
    <row r="73" spans="2:83" ht="12" customHeight="1" x14ac:dyDescent="0.2">
      <c r="B73" s="538"/>
      <c r="C73" s="445"/>
      <c r="D73" s="795"/>
      <c r="E73" s="642"/>
      <c r="F73" s="614"/>
      <c r="G73" s="614"/>
      <c r="H73" s="615"/>
      <c r="I73" s="615"/>
      <c r="J73" s="612"/>
      <c r="K73" s="612"/>
      <c r="L73" s="651"/>
      <c r="M73" s="651"/>
      <c r="N73" s="617"/>
      <c r="O73" s="617"/>
      <c r="P73" s="617"/>
      <c r="Q73" s="650"/>
      <c r="R73" s="650"/>
      <c r="S73" s="650"/>
      <c r="T73" s="539"/>
      <c r="U73" s="402"/>
      <c r="V73" s="538"/>
      <c r="CC73" s="440"/>
    </row>
    <row r="74" spans="2:83" ht="38.25" customHeight="1" x14ac:dyDescent="0.2">
      <c r="B74" s="538"/>
      <c r="C74" s="445"/>
      <c r="D74" s="795"/>
      <c r="E74" s="642" t="s">
        <v>462</v>
      </c>
      <c r="F74" s="739">
        <v>1</v>
      </c>
      <c r="G74" s="739"/>
      <c r="H74" s="741">
        <v>1500</v>
      </c>
      <c r="I74" s="741"/>
      <c r="J74" s="777">
        <v>3</v>
      </c>
      <c r="K74" s="777"/>
      <c r="L74" s="834">
        <f ca="1">DATE(YEAR(L66),MONTH(L66)+(J74-J66),1)</f>
        <v>43891</v>
      </c>
      <c r="M74" s="834"/>
      <c r="N74" s="764">
        <f>F74*H74</f>
        <v>1500</v>
      </c>
      <c r="O74" s="764"/>
      <c r="P74" s="764"/>
      <c r="Q74" s="663"/>
      <c r="R74" s="663"/>
      <c r="S74" s="663"/>
      <c r="T74" s="539"/>
      <c r="U74" s="402"/>
      <c r="V74" s="538"/>
      <c r="CC74" s="440"/>
    </row>
    <row r="75" spans="2:83" ht="14.25" customHeight="1" x14ac:dyDescent="0.2">
      <c r="B75" s="538"/>
      <c r="C75" s="445"/>
      <c r="D75" s="795"/>
      <c r="E75" s="642"/>
      <c r="F75" s="614"/>
      <c r="G75" s="614"/>
      <c r="H75" s="581"/>
      <c r="I75" s="613"/>
      <c r="J75" s="611"/>
      <c r="K75" s="611"/>
      <c r="L75" s="610"/>
      <c r="M75" s="470"/>
      <c r="N75" s="616"/>
      <c r="O75" s="616"/>
      <c r="P75" s="470"/>
      <c r="Q75" s="663"/>
      <c r="R75" s="663"/>
      <c r="S75" s="663"/>
      <c r="T75" s="539"/>
      <c r="U75" s="402"/>
      <c r="V75" s="538"/>
      <c r="AA75" s="441"/>
      <c r="AB75" s="442"/>
    </row>
    <row r="76" spans="2:83" s="387" customFormat="1" ht="41.25" customHeight="1" x14ac:dyDescent="0.2">
      <c r="B76" s="538"/>
      <c r="C76" s="445"/>
      <c r="D76" s="795"/>
      <c r="E76" s="662" t="s">
        <v>460</v>
      </c>
      <c r="F76" s="739">
        <v>1</v>
      </c>
      <c r="G76" s="739"/>
      <c r="H76" s="741">
        <v>1500</v>
      </c>
      <c r="I76" s="741"/>
      <c r="J76" s="777">
        <v>4</v>
      </c>
      <c r="K76" s="777"/>
      <c r="L76" s="834">
        <f ca="1">DATE(YEAR(L68),MONTH(L68)+(J76-J68),DAY(L68))</f>
        <v>43922</v>
      </c>
      <c r="M76" s="834"/>
      <c r="N76" s="764">
        <f>H76*F76</f>
        <v>1500</v>
      </c>
      <c r="O76" s="764"/>
      <c r="P76" s="764"/>
      <c r="Q76" s="663"/>
      <c r="R76" s="663"/>
      <c r="S76" s="663"/>
      <c r="T76" s="540"/>
      <c r="U76" s="445"/>
      <c r="V76" s="538"/>
      <c r="Z76" s="387" t="s">
        <v>203</v>
      </c>
      <c r="AA76" s="443">
        <f>+N76/M8</f>
        <v>6.1764131839245262E-3</v>
      </c>
      <c r="AB76" s="444"/>
      <c r="CC76" s="446"/>
    </row>
    <row r="77" spans="2:83" s="387" customFormat="1" ht="12.75" customHeight="1" x14ac:dyDescent="0.2">
      <c r="B77" s="538"/>
      <c r="C77" s="445"/>
      <c r="D77" s="795"/>
      <c r="E77" s="610"/>
      <c r="F77" s="470"/>
      <c r="G77" s="616"/>
      <c r="H77" s="616"/>
      <c r="I77" s="610"/>
      <c r="J77" s="470"/>
      <c r="K77" s="616"/>
      <c r="L77" s="616"/>
      <c r="M77" s="610"/>
      <c r="N77" s="470"/>
      <c r="O77" s="616"/>
      <c r="P77" s="616"/>
      <c r="Q77" s="663"/>
      <c r="R77" s="663"/>
      <c r="S77" s="663"/>
      <c r="T77" s="540"/>
      <c r="U77" s="445"/>
      <c r="V77" s="538"/>
      <c r="AA77" s="683"/>
      <c r="AB77" s="684"/>
      <c r="CC77" s="446"/>
    </row>
    <row r="78" spans="2:83" s="387" customFormat="1" ht="41.25" customHeight="1" x14ac:dyDescent="0.2">
      <c r="B78" s="538"/>
      <c r="C78" s="445"/>
      <c r="D78" s="795"/>
      <c r="E78" s="662" t="s">
        <v>461</v>
      </c>
      <c r="F78" s="739">
        <v>1</v>
      </c>
      <c r="G78" s="739"/>
      <c r="H78" s="741">
        <v>1500</v>
      </c>
      <c r="I78" s="741"/>
      <c r="J78" s="777">
        <v>5</v>
      </c>
      <c r="K78" s="777"/>
      <c r="L78" s="834">
        <f ca="1">DATE(YEAR(L70),MONTH(L70)+(J78-J70),DAY(L70))</f>
        <v>43952</v>
      </c>
      <c r="M78" s="834"/>
      <c r="N78" s="764">
        <f>H78*F78</f>
        <v>1500</v>
      </c>
      <c r="O78" s="764"/>
      <c r="P78" s="764"/>
      <c r="Q78" s="663"/>
      <c r="R78" s="663"/>
      <c r="S78" s="663"/>
      <c r="T78" s="540"/>
      <c r="U78" s="445"/>
      <c r="V78" s="538"/>
      <c r="AA78" s="683"/>
      <c r="AB78" s="684"/>
      <c r="CC78" s="446"/>
    </row>
    <row r="79" spans="2:83" ht="15" customHeight="1" x14ac:dyDescent="0.2">
      <c r="B79" s="538"/>
      <c r="C79" s="445"/>
      <c r="D79" s="795"/>
      <c r="E79" s="642"/>
      <c r="F79" s="581"/>
      <c r="G79" s="581"/>
      <c r="H79" s="581"/>
      <c r="I79" s="613"/>
      <c r="J79" s="611"/>
      <c r="K79" s="611"/>
      <c r="L79" s="610"/>
      <c r="M79" s="470"/>
      <c r="N79" s="616"/>
      <c r="O79" s="616"/>
      <c r="P79" s="470"/>
      <c r="Q79" s="663"/>
      <c r="R79" s="663"/>
      <c r="S79" s="663"/>
      <c r="T79" s="539"/>
      <c r="U79" s="402"/>
      <c r="V79" s="538"/>
      <c r="Z79" s="384" t="s">
        <v>202</v>
      </c>
    </row>
    <row r="80" spans="2:83" ht="51.75" customHeight="1" x14ac:dyDescent="0.2">
      <c r="B80" s="538"/>
      <c r="C80" s="445"/>
      <c r="D80" s="795"/>
      <c r="E80" s="642" t="s">
        <v>37</v>
      </c>
      <c r="F80" s="739">
        <f ca="1">fluxos!C11</f>
        <v>25</v>
      </c>
      <c r="G80" s="739"/>
      <c r="H80" s="741">
        <v>1142.6099999999999</v>
      </c>
      <c r="I80" s="741"/>
      <c r="J80" s="777">
        <v>5</v>
      </c>
      <c r="K80" s="777"/>
      <c r="L80" s="834">
        <f ca="1">DATE(YEAR(L78),MONTH(L78)+(J80-J78),1)+30</f>
        <v>43982</v>
      </c>
      <c r="M80" s="834"/>
      <c r="N80" s="764">
        <f ca="1">F80*H80</f>
        <v>28565.249999999996</v>
      </c>
      <c r="O80" s="764"/>
      <c r="P80" s="764"/>
      <c r="Q80" s="663"/>
      <c r="R80" s="663"/>
      <c r="S80" s="663"/>
      <c r="T80" s="539"/>
      <c r="U80" s="402"/>
      <c r="V80" s="538"/>
      <c r="AL80" s="631"/>
      <c r="CD80" s="447" t="s">
        <v>103</v>
      </c>
      <c r="CE80" s="447" t="s">
        <v>104</v>
      </c>
    </row>
    <row r="81" spans="2:87" s="396" customFormat="1" ht="51.75" customHeight="1" x14ac:dyDescent="0.2">
      <c r="B81" s="569"/>
      <c r="C81" s="590"/>
      <c r="D81" s="795"/>
      <c r="E81" s="618"/>
      <c r="F81" s="619"/>
      <c r="G81" s="620"/>
      <c r="H81" s="764">
        <f ca="1">N81/F80</f>
        <v>1246.6099999999999</v>
      </c>
      <c r="I81" s="764"/>
      <c r="J81" s="620"/>
      <c r="K81" s="620"/>
      <c r="L81" s="833"/>
      <c r="M81" s="833"/>
      <c r="N81" s="764">
        <f ca="1">M28+N80</f>
        <v>31165.249999999996</v>
      </c>
      <c r="O81" s="764"/>
      <c r="P81" s="764"/>
      <c r="Q81" s="448"/>
      <c r="R81" s="448"/>
      <c r="S81" s="448"/>
      <c r="T81" s="541"/>
      <c r="U81" s="399"/>
      <c r="V81" s="569"/>
      <c r="Z81" s="630">
        <v>44228</v>
      </c>
      <c r="AL81" s="630"/>
      <c r="CC81" s="400"/>
      <c r="CD81" s="449"/>
      <c r="CE81" s="449"/>
    </row>
    <row r="82" spans="2:87" s="387" customFormat="1" ht="15" customHeight="1" x14ac:dyDescent="0.2">
      <c r="B82" s="538"/>
      <c r="C82" s="445"/>
      <c r="D82" s="795"/>
      <c r="E82" s="642"/>
      <c r="F82" s="621"/>
      <c r="G82" s="621"/>
      <c r="H82" s="621"/>
      <c r="I82" s="622"/>
      <c r="J82" s="611"/>
      <c r="K82" s="611"/>
      <c r="L82" s="610"/>
      <c r="M82" s="470"/>
      <c r="N82" s="616"/>
      <c r="O82" s="616"/>
      <c r="P82" s="470"/>
      <c r="Q82" s="591"/>
      <c r="R82" s="452"/>
      <c r="S82" s="453"/>
      <c r="T82" s="540"/>
      <c r="U82" s="445"/>
      <c r="V82" s="538"/>
      <c r="CC82" s="446"/>
    </row>
    <row r="83" spans="2:87" ht="33.75" customHeight="1" x14ac:dyDescent="0.2">
      <c r="B83" s="538"/>
      <c r="C83" s="445"/>
      <c r="D83" s="795"/>
      <c r="E83" s="642" t="s">
        <v>27</v>
      </c>
      <c r="F83" s="739">
        <v>2</v>
      </c>
      <c r="G83" s="739"/>
      <c r="H83" s="741">
        <v>4000</v>
      </c>
      <c r="I83" s="741"/>
      <c r="J83" s="777">
        <v>13</v>
      </c>
      <c r="K83" s="777"/>
      <c r="L83" s="845">
        <v>44166</v>
      </c>
      <c r="M83" s="846"/>
      <c r="N83" s="764">
        <f>H83*F83</f>
        <v>8000</v>
      </c>
      <c r="O83" s="764"/>
      <c r="P83" s="764"/>
      <c r="Q83" s="448"/>
      <c r="R83" s="448"/>
      <c r="S83" s="448"/>
      <c r="T83" s="543"/>
      <c r="U83" s="402"/>
      <c r="V83" s="538"/>
      <c r="Z83" s="631">
        <v>43862</v>
      </c>
      <c r="CC83" s="440"/>
      <c r="CD83" s="384" t="s">
        <v>103</v>
      </c>
      <c r="CE83" s="384" t="s">
        <v>104</v>
      </c>
    </row>
    <row r="84" spans="2:87" s="387" customFormat="1" ht="15" customHeight="1" x14ac:dyDescent="0.2">
      <c r="B84" s="538"/>
      <c r="C84" s="445"/>
      <c r="D84" s="795"/>
      <c r="E84" s="519"/>
      <c r="F84" s="425"/>
      <c r="G84" s="425"/>
      <c r="H84" s="425"/>
      <c r="I84" s="425"/>
      <c r="J84" s="506"/>
      <c r="K84" s="506"/>
      <c r="L84" s="507"/>
      <c r="M84" s="468"/>
      <c r="N84" s="637"/>
      <c r="O84" s="637"/>
      <c r="P84" s="468"/>
      <c r="Q84" s="448"/>
      <c r="R84" s="448"/>
      <c r="S84" s="448"/>
      <c r="T84" s="540"/>
      <c r="U84" s="445"/>
      <c r="V84" s="538"/>
      <c r="CC84" s="446"/>
    </row>
    <row r="85" spans="2:87" ht="15" customHeight="1" x14ac:dyDescent="0.2">
      <c r="B85" s="538"/>
      <c r="C85" s="445"/>
      <c r="D85" s="795"/>
      <c r="E85" s="519"/>
      <c r="F85" s="454"/>
      <c r="G85" s="454"/>
      <c r="H85" s="454"/>
      <c r="I85" s="455"/>
      <c r="J85" s="506"/>
      <c r="K85" s="506"/>
      <c r="L85" s="507"/>
      <c r="M85" s="468"/>
      <c r="N85" s="637"/>
      <c r="O85" s="637"/>
      <c r="P85" s="468"/>
      <c r="Q85" s="402"/>
      <c r="R85" s="439"/>
      <c r="S85" s="433"/>
      <c r="T85" s="539"/>
      <c r="U85" s="402"/>
      <c r="V85" s="538"/>
      <c r="CD85" s="403"/>
    </row>
    <row r="86" spans="2:87" ht="33.75" hidden="1" customHeight="1" thickBot="1" x14ac:dyDescent="0.25">
      <c r="B86" s="538"/>
      <c r="C86" s="445"/>
      <c r="D86" s="795"/>
      <c r="E86" s="519" t="s">
        <v>27</v>
      </c>
      <c r="F86" s="766">
        <v>0</v>
      </c>
      <c r="G86" s="767"/>
      <c r="H86" s="778"/>
      <c r="I86" s="779"/>
      <c r="J86" s="835">
        <v>9</v>
      </c>
      <c r="K86" s="836"/>
      <c r="L86" s="780" t="e">
        <f>DATE(YEAR(#REF!),MONTH(#REF!)+(J86-#REF!),DAY(#REF!))</f>
        <v>#REF!</v>
      </c>
      <c r="M86" s="780"/>
      <c r="N86" s="718">
        <f>H86*F86</f>
        <v>0</v>
      </c>
      <c r="O86" s="718"/>
      <c r="P86" s="718"/>
      <c r="Q86" s="771" t="str">
        <f>IF(H86&gt;0,IF(#REF!&gt;J86,IF(J86+(F86-1)*C86&lt;=#REF!,"Ok",CONCATENATE("Prazo excedido, parcela máxima: ",(ROUNDDOWN((#REF!-J86)/C86,0))+1)),"Mês de início inválido."),"")</f>
        <v/>
      </c>
      <c r="R86" s="772"/>
      <c r="S86" s="644"/>
      <c r="T86" s="539"/>
      <c r="U86" s="402"/>
      <c r="V86" s="538"/>
      <c r="CD86" s="403"/>
    </row>
    <row r="87" spans="2:87" ht="15" hidden="1" customHeight="1" thickBot="1" x14ac:dyDescent="0.25">
      <c r="B87" s="538"/>
      <c r="C87" s="445"/>
      <c r="D87" s="795"/>
      <c r="E87" s="519"/>
      <c r="F87" s="450"/>
      <c r="G87" s="450"/>
      <c r="H87" s="450"/>
      <c r="I87" s="451"/>
      <c r="J87" s="506"/>
      <c r="K87" s="506"/>
      <c r="L87" s="507"/>
      <c r="M87" s="468"/>
      <c r="N87" s="637"/>
      <c r="O87" s="637"/>
      <c r="P87" s="468"/>
      <c r="Q87" s="402"/>
      <c r="R87" s="439"/>
      <c r="S87" s="433"/>
      <c r="T87" s="539"/>
      <c r="U87" s="402"/>
      <c r="V87" s="538"/>
      <c r="CD87" s="403"/>
    </row>
    <row r="88" spans="2:87" ht="19.5" hidden="1" customHeight="1" thickBot="1" x14ac:dyDescent="0.25">
      <c r="B88" s="538"/>
      <c r="C88" s="445"/>
      <c r="D88" s="795"/>
      <c r="E88" s="519" t="s">
        <v>205</v>
      </c>
      <c r="F88" s="766">
        <v>1</v>
      </c>
      <c r="G88" s="767"/>
      <c r="H88" s="778">
        <v>0</v>
      </c>
      <c r="I88" s="779"/>
      <c r="J88" s="836">
        <v>5</v>
      </c>
      <c r="K88" s="836"/>
      <c r="L88" s="780" t="e">
        <f>DATE(YEAR(L86),MONTH(L86)+(J88-J86),DAY(L86))</f>
        <v>#REF!</v>
      </c>
      <c r="M88" s="780"/>
      <c r="N88" s="730">
        <f>H88*F88</f>
        <v>0</v>
      </c>
      <c r="O88" s="718"/>
      <c r="P88" s="718"/>
      <c r="Q88" s="769" t="s">
        <v>207</v>
      </c>
      <c r="R88" s="770"/>
      <c r="S88" s="770"/>
      <c r="T88" s="539"/>
      <c r="U88" s="402"/>
      <c r="V88" s="538"/>
      <c r="AF88" s="390" t="s">
        <v>173</v>
      </c>
      <c r="CD88" s="403"/>
    </row>
    <row r="89" spans="2:87" ht="43.5" customHeight="1" x14ac:dyDescent="0.2">
      <c r="B89" s="538"/>
      <c r="C89" s="445"/>
      <c r="D89" s="795"/>
      <c r="E89" s="519"/>
      <c r="F89" s="428"/>
      <c r="G89" s="428"/>
      <c r="H89" s="428"/>
      <c r="I89" s="425"/>
      <c r="J89" s="506"/>
      <c r="K89" s="506"/>
      <c r="L89" s="507"/>
      <c r="M89" s="468"/>
      <c r="N89" s="637"/>
      <c r="O89" s="637"/>
      <c r="P89" s="468"/>
      <c r="Q89" s="402"/>
      <c r="R89" s="402"/>
      <c r="S89" s="432"/>
      <c r="T89" s="539"/>
      <c r="U89" s="402"/>
      <c r="V89" s="538"/>
      <c r="AF89" s="390"/>
      <c r="CC89" s="535" t="s">
        <v>101</v>
      </c>
      <c r="CD89" s="390" t="s">
        <v>107</v>
      </c>
      <c r="CE89" s="390" t="s">
        <v>108</v>
      </c>
      <c r="CF89" s="387"/>
      <c r="CG89" s="807" t="s">
        <v>109</v>
      </c>
      <c r="CH89" s="807"/>
      <c r="CI89" s="807"/>
    </row>
    <row r="90" spans="2:87" ht="66" customHeight="1" x14ac:dyDescent="0.2">
      <c r="B90" s="538"/>
      <c r="C90" s="445"/>
      <c r="D90" s="795"/>
      <c r="E90" s="519"/>
      <c r="F90" s="428"/>
      <c r="G90" s="428"/>
      <c r="H90" s="425"/>
      <c r="I90" s="402"/>
      <c r="J90" s="438"/>
      <c r="K90" s="438"/>
      <c r="L90" s="424"/>
      <c r="M90" s="428"/>
      <c r="N90" s="425"/>
      <c r="O90" s="425"/>
      <c r="P90" s="402"/>
      <c r="Q90" s="402"/>
      <c r="R90" s="402"/>
      <c r="S90" s="432"/>
      <c r="T90" s="539"/>
      <c r="U90" s="402"/>
      <c r="V90" s="538"/>
      <c r="Z90" s="390"/>
      <c r="AJ90" s="457">
        <f>F83</f>
        <v>2</v>
      </c>
      <c r="AL90" s="458" t="str">
        <f>IF(AJ90=0,"ok",IF(AND(AJ90=1,L83&lt;='Simulador CEF'!M14),"ok",IF(AND(AJ90=2,L83&lt;=(44228)),"ok",IF(AND('Simulador CEF'!AJ90=3,L83&lt;=(43862)),"ok","falha"))))</f>
        <v>ok</v>
      </c>
      <c r="CC90" s="535">
        <v>120</v>
      </c>
      <c r="CD90" s="390">
        <v>1</v>
      </c>
      <c r="CE90" s="390">
        <v>1</v>
      </c>
      <c r="CF90" s="387"/>
      <c r="CG90" s="536" t="str">
        <f>CONCATENATE(E20,"/",F20,"/",G20)</f>
        <v>4/3/1998</v>
      </c>
      <c r="CH90" s="529">
        <f ca="1">TODAY()+120</f>
        <v>43922</v>
      </c>
      <c r="CI90" s="530">
        <f ca="1">ROUND((CH90-CG90)/30,0)</f>
        <v>269</v>
      </c>
    </row>
    <row r="91" spans="2:87" ht="48.75" customHeight="1" x14ac:dyDescent="0.2">
      <c r="B91" s="538"/>
      <c r="C91" s="445"/>
      <c r="D91" s="795"/>
      <c r="E91" s="738" t="s">
        <v>13</v>
      </c>
      <c r="F91" s="823" t="s">
        <v>211</v>
      </c>
      <c r="G91" s="823"/>
      <c r="H91" s="823"/>
      <c r="I91" s="824"/>
      <c r="J91" s="765">
        <v>4</v>
      </c>
      <c r="K91" s="765"/>
      <c r="L91" s="773">
        <f ca="1">H58</f>
        <v>43954</v>
      </c>
      <c r="M91" s="774"/>
      <c r="N91" s="764">
        <f>M20+M18</f>
        <v>15000</v>
      </c>
      <c r="O91" s="764"/>
      <c r="P91" s="764"/>
      <c r="Q91" s="470"/>
      <c r="R91" s="809" t="s">
        <v>201</v>
      </c>
      <c r="S91" s="810"/>
      <c r="T91" s="539"/>
      <c r="U91" s="402"/>
      <c r="V91" s="538"/>
      <c r="Z91" s="459">
        <f ca="1">Z94</f>
        <v>178794.15</v>
      </c>
      <c r="AJ91" s="460"/>
      <c r="CC91" s="535">
        <f>CC90+60</f>
        <v>180</v>
      </c>
      <c r="CD91" s="390">
        <v>2</v>
      </c>
      <c r="CE91" s="390">
        <v>2</v>
      </c>
      <c r="CF91" s="387"/>
    </row>
    <row r="92" spans="2:87" ht="33.75" customHeight="1" x14ac:dyDescent="0.2">
      <c r="B92" s="538"/>
      <c r="C92" s="445"/>
      <c r="D92" s="795"/>
      <c r="E92" s="738"/>
      <c r="F92" s="781" t="s">
        <v>156</v>
      </c>
      <c r="G92" s="781"/>
      <c r="H92" s="781"/>
      <c r="I92" s="782"/>
      <c r="J92" s="765"/>
      <c r="K92" s="765"/>
      <c r="L92" s="775"/>
      <c r="M92" s="776"/>
      <c r="N92" s="764">
        <f ca="1">IF(M22&lt;Z94,M22,IF(R92="sim",Z94,M22))</f>
        <v>176800</v>
      </c>
      <c r="O92" s="764"/>
      <c r="P92" s="764"/>
      <c r="Q92" s="470"/>
      <c r="R92" s="675" t="s">
        <v>203</v>
      </c>
      <c r="S92" s="623" t="str">
        <f ca="1">IF(M31&gt;Z91,"Limite Atingido", "Possível")</f>
        <v>Limite Atingido</v>
      </c>
      <c r="T92" s="539"/>
      <c r="U92" s="402"/>
      <c r="V92" s="538"/>
      <c r="Z92" s="390" t="s">
        <v>192</v>
      </c>
      <c r="CC92" s="535">
        <f t="shared" ref="CC92:CC94" si="0">CC91+60</f>
        <v>240</v>
      </c>
      <c r="CD92" s="390">
        <v>3</v>
      </c>
      <c r="CE92" s="390">
        <v>3</v>
      </c>
      <c r="CF92" s="387"/>
    </row>
    <row r="93" spans="2:87" ht="20.25" customHeight="1" x14ac:dyDescent="0.2">
      <c r="B93" s="538"/>
      <c r="C93" s="445"/>
      <c r="D93" s="795"/>
      <c r="E93" s="624"/>
      <c r="F93" s="624"/>
      <c r="G93" s="624"/>
      <c r="H93" s="624"/>
      <c r="I93" s="624"/>
      <c r="J93" s="624"/>
      <c r="K93" s="624"/>
      <c r="L93" s="521"/>
      <c r="M93" s="470"/>
      <c r="N93" s="625"/>
      <c r="O93" s="625"/>
      <c r="P93" s="470"/>
      <c r="Q93" s="624" t="s">
        <v>161</v>
      </c>
      <c r="R93" s="812"/>
      <c r="S93" s="813"/>
      <c r="T93" s="808"/>
      <c r="U93" s="402"/>
      <c r="V93" s="538"/>
      <c r="Z93" s="390" t="s">
        <v>163</v>
      </c>
      <c r="CC93" s="535">
        <f t="shared" si="0"/>
        <v>300</v>
      </c>
      <c r="CD93" s="390">
        <v>4</v>
      </c>
      <c r="CE93" s="390">
        <v>4</v>
      </c>
      <c r="CF93" s="387"/>
    </row>
    <row r="94" spans="2:87" ht="56.25" customHeight="1" x14ac:dyDescent="0.2">
      <c r="B94" s="538"/>
      <c r="C94" s="445"/>
      <c r="D94" s="795"/>
      <c r="E94" s="407"/>
      <c r="F94" s="828" t="str">
        <f ca="1">IF(SUM(N83,N80)&gt;M8*VLOOKUP(H8,Apoio!C:F,4,FALSE),"Pró-Soluto acima do permitido","")</f>
        <v/>
      </c>
      <c r="G94" s="828"/>
      <c r="H94" s="828"/>
      <c r="I94" s="828"/>
      <c r="J94" s="826" t="s">
        <v>356</v>
      </c>
      <c r="K94" s="827"/>
      <c r="L94" s="832" t="s">
        <v>174</v>
      </c>
      <c r="M94" s="832"/>
      <c r="N94" s="825">
        <f ca="1">SUM(N66,N68,N72,N74,N80,N91,N83,N92,N76,N78)</f>
        <v>240865.25</v>
      </c>
      <c r="O94" s="825"/>
      <c r="P94" s="825"/>
      <c r="Q94" s="626">
        <f ca="1">(N60-N94)/N60</f>
        <v>8.2111295671487058E-3</v>
      </c>
      <c r="R94" s="811" t="str">
        <f ca="1">IF(Q94&lt;-0.00005%,"VALOR PROPOSTO EXCEDIDO",IF(Q94&gt;0.00005%,"AUMENTAR PROPOSTA","PRÉ-APROVADO"))</f>
        <v>AUMENTAR PROPOSTA</v>
      </c>
      <c r="S94" s="811"/>
      <c r="T94" s="808"/>
      <c r="U94" s="402"/>
      <c r="V94" s="538"/>
      <c r="Z94" s="459">
        <f ca="1">M8-(N80+N66+N68+N72+N74+N91+N83+N76+N78)</f>
        <v>178794.15</v>
      </c>
      <c r="CC94" s="535">
        <f t="shared" si="0"/>
        <v>360</v>
      </c>
      <c r="CD94" s="390">
        <v>5</v>
      </c>
      <c r="CE94" s="390">
        <v>5</v>
      </c>
      <c r="CF94" s="387"/>
    </row>
    <row r="95" spans="2:87" ht="30" customHeight="1" x14ac:dyDescent="0.2">
      <c r="B95" s="538"/>
      <c r="C95" s="445"/>
      <c r="D95" s="795"/>
      <c r="E95" s="432"/>
      <c r="F95" s="828"/>
      <c r="G95" s="828"/>
      <c r="H95" s="828"/>
      <c r="I95" s="828"/>
      <c r="J95" s="829">
        <f ca="1">(N80+N83)/N94</f>
        <v>0.15180790919404108</v>
      </c>
      <c r="K95" s="830"/>
      <c r="L95" s="648"/>
      <c r="M95" s="648"/>
      <c r="N95" s="627"/>
      <c r="O95" s="627"/>
      <c r="P95" s="627"/>
      <c r="Q95" s="628"/>
      <c r="R95" s="618"/>
      <c r="S95" s="618"/>
      <c r="T95" s="808"/>
      <c r="U95" s="402"/>
      <c r="V95" s="538"/>
      <c r="Z95" s="402"/>
      <c r="CC95" s="535">
        <v>420</v>
      </c>
      <c r="CD95" s="390">
        <v>6</v>
      </c>
      <c r="CE95" s="390">
        <v>6</v>
      </c>
      <c r="CF95" s="387"/>
    </row>
    <row r="96" spans="2:87" ht="60.75" customHeight="1" thickBot="1" x14ac:dyDescent="0.25">
      <c r="B96" s="538"/>
      <c r="C96" s="445"/>
      <c r="D96" s="796"/>
      <c r="E96" s="508"/>
      <c r="F96" s="508" t="str">
        <f ca="1">IF(N92&lt;30000,"Financiamento abaixo de 30.000","")</f>
        <v/>
      </c>
      <c r="G96" s="508"/>
      <c r="H96" s="508"/>
      <c r="I96" s="508"/>
      <c r="J96" s="508"/>
      <c r="K96" s="508"/>
      <c r="L96" s="508"/>
      <c r="M96" s="508"/>
      <c r="N96" s="508"/>
      <c r="O96" s="508"/>
      <c r="P96" s="508"/>
      <c r="Q96" s="508"/>
      <c r="R96" s="508"/>
      <c r="S96" s="508"/>
      <c r="T96" s="808"/>
      <c r="U96" s="402"/>
      <c r="V96" s="538"/>
      <c r="CC96" s="535"/>
      <c r="CD96" s="390">
        <v>7</v>
      </c>
      <c r="CE96" s="390">
        <v>7</v>
      </c>
      <c r="CF96" s="387"/>
    </row>
    <row r="97" spans="2:84" ht="11.25" customHeight="1" x14ac:dyDescent="0.2">
      <c r="B97" s="538"/>
      <c r="C97" s="402"/>
      <c r="D97" s="402"/>
      <c r="E97" s="402"/>
      <c r="F97" s="523"/>
      <c r="G97" s="523"/>
      <c r="H97" s="523"/>
      <c r="I97" s="523"/>
      <c r="J97" s="402"/>
      <c r="K97" s="402"/>
      <c r="L97" s="402"/>
      <c r="M97" s="402"/>
      <c r="N97" s="402"/>
      <c r="O97" s="402"/>
      <c r="P97" s="402"/>
      <c r="Q97" s="402"/>
      <c r="R97" s="402"/>
      <c r="S97" s="402"/>
      <c r="T97" s="542"/>
      <c r="U97" s="402"/>
      <c r="V97" s="538"/>
      <c r="Y97" s="456"/>
      <c r="Z97" s="456"/>
      <c r="CC97" s="535"/>
      <c r="CD97" s="390">
        <v>8</v>
      </c>
      <c r="CE97" s="390">
        <v>8</v>
      </c>
      <c r="CF97" s="387"/>
    </row>
    <row r="98" spans="2:84" ht="8.25" customHeight="1" x14ac:dyDescent="0.2">
      <c r="B98" s="538"/>
      <c r="C98" s="402"/>
      <c r="D98" s="402"/>
      <c r="E98" s="402"/>
      <c r="F98" s="402"/>
      <c r="G98" s="402"/>
      <c r="H98" s="402"/>
      <c r="I98" s="402"/>
      <c r="J98" s="402"/>
      <c r="K98" s="402"/>
      <c r="L98" s="402"/>
      <c r="M98" s="402"/>
      <c r="N98" s="402"/>
      <c r="O98" s="402"/>
      <c r="P98" s="402"/>
      <c r="Q98" s="402"/>
      <c r="R98" s="402"/>
      <c r="S98" s="402"/>
      <c r="T98" s="402"/>
      <c r="U98" s="402"/>
      <c r="V98" s="538"/>
      <c r="W98" s="402"/>
      <c r="X98" s="402"/>
      <c r="Y98" s="456"/>
      <c r="Z98" s="456"/>
      <c r="CC98" s="535"/>
      <c r="CD98" s="390">
        <v>9</v>
      </c>
      <c r="CE98" s="390">
        <v>9</v>
      </c>
      <c r="CF98" s="387"/>
    </row>
    <row r="99" spans="2:84" ht="12.75" customHeight="1" x14ac:dyDescent="0.2">
      <c r="B99" s="538"/>
      <c r="C99" s="402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538"/>
      <c r="Y99" s="456"/>
      <c r="Z99" s="456"/>
      <c r="AA99" s="456"/>
      <c r="AB99" s="456"/>
      <c r="CC99" s="535"/>
      <c r="CD99" s="390">
        <v>10</v>
      </c>
      <c r="CE99" s="390">
        <v>10</v>
      </c>
      <c r="CF99" s="387"/>
    </row>
    <row r="100" spans="2:84" ht="28.5" customHeight="1" x14ac:dyDescent="0.2">
      <c r="B100" s="538"/>
      <c r="C100" s="402"/>
      <c r="D100" s="402"/>
      <c r="E100" s="402"/>
      <c r="F100" s="461"/>
      <c r="G100" s="806" t="str">
        <f>IF(H70&lt;H76,"Inconsistência a Mensal 1 não pode ser MENOR que a Mensal 2","OK")</f>
        <v>Inconsistência a Mensal 1 não pode ser MENOR que a Mensal 2</v>
      </c>
      <c r="H100" s="806"/>
      <c r="I100" s="806"/>
      <c r="J100" s="806"/>
      <c r="K100" s="806"/>
      <c r="L100" s="806"/>
      <c r="M100" s="806"/>
      <c r="N100" s="806"/>
      <c r="O100" s="402"/>
      <c r="P100" s="402"/>
      <c r="Q100" s="402"/>
      <c r="R100" s="402"/>
      <c r="S100" s="402"/>
      <c r="T100" s="402"/>
      <c r="U100" s="402"/>
      <c r="V100" s="538"/>
      <c r="Y100" s="456"/>
      <c r="Z100" s="456"/>
      <c r="AA100" s="456"/>
      <c r="AB100" s="456"/>
      <c r="CC100" s="535"/>
      <c r="CD100" s="390">
        <v>11</v>
      </c>
      <c r="CE100" s="390">
        <v>11</v>
      </c>
      <c r="CF100" s="387"/>
    </row>
    <row r="101" spans="2:84" ht="23.25" customHeight="1" x14ac:dyDescent="0.2">
      <c r="B101" s="538"/>
      <c r="C101" s="402"/>
      <c r="D101" s="402"/>
      <c r="E101" s="522"/>
      <c r="F101" s="461"/>
      <c r="G101" s="806"/>
      <c r="H101" s="806"/>
      <c r="I101" s="806"/>
      <c r="J101" s="806"/>
      <c r="K101" s="806"/>
      <c r="L101" s="806"/>
      <c r="M101" s="806"/>
      <c r="N101" s="806"/>
      <c r="O101" s="402"/>
      <c r="P101" s="402"/>
      <c r="Q101" s="402"/>
      <c r="R101" s="402"/>
      <c r="S101" s="402"/>
      <c r="T101" s="402"/>
      <c r="U101" s="402"/>
      <c r="V101" s="538"/>
      <c r="Y101" s="456"/>
      <c r="Z101" s="456"/>
      <c r="AA101" s="456"/>
      <c r="AB101" s="456"/>
      <c r="CC101" s="535"/>
      <c r="CD101" s="390">
        <v>12</v>
      </c>
      <c r="CE101" s="390">
        <v>12</v>
      </c>
    </row>
    <row r="102" spans="2:84" ht="3.75" customHeight="1" x14ac:dyDescent="0.2">
      <c r="B102" s="538"/>
      <c r="C102" s="445"/>
      <c r="D102" s="402"/>
      <c r="E102" s="522"/>
      <c r="F102" s="522"/>
      <c r="G102" s="522"/>
      <c r="H102" s="522"/>
      <c r="I102" s="522"/>
      <c r="J102" s="522"/>
      <c r="K102" s="522"/>
      <c r="L102" s="522"/>
      <c r="M102" s="522"/>
      <c r="N102" s="522"/>
      <c r="O102" s="522"/>
      <c r="P102" s="402"/>
      <c r="Q102" s="402"/>
      <c r="R102" s="402"/>
      <c r="S102" s="402"/>
      <c r="T102" s="402"/>
      <c r="U102" s="402"/>
      <c r="V102" s="538"/>
      <c r="CC102" s="535"/>
      <c r="CD102" s="390">
        <v>13</v>
      </c>
      <c r="CE102" s="390"/>
    </row>
    <row r="103" spans="2:84" ht="9.75" customHeight="1" x14ac:dyDescent="0.2">
      <c r="B103" s="538"/>
      <c r="C103" s="445"/>
      <c r="D103" s="40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402"/>
      <c r="Q103" s="402"/>
      <c r="R103" s="402"/>
      <c r="S103" s="402"/>
      <c r="T103" s="402"/>
      <c r="U103" s="402"/>
      <c r="V103" s="538"/>
      <c r="W103" s="522"/>
      <c r="X103" s="522"/>
      <c r="CC103" s="535"/>
      <c r="CD103" s="390">
        <v>14</v>
      </c>
      <c r="CE103" s="390"/>
    </row>
    <row r="104" spans="2:84" ht="2.25" customHeight="1" x14ac:dyDescent="0.2">
      <c r="B104" s="538"/>
      <c r="C104" s="445"/>
      <c r="D104" s="402"/>
      <c r="E104" s="522"/>
      <c r="F104" s="522"/>
      <c r="G104" s="522"/>
      <c r="H104" s="522"/>
      <c r="I104" s="522"/>
      <c r="J104" s="522"/>
      <c r="K104" s="522"/>
      <c r="L104" s="522"/>
      <c r="M104" s="522"/>
      <c r="N104" s="522"/>
      <c r="O104" s="522"/>
      <c r="P104" s="402"/>
      <c r="Q104" s="402"/>
      <c r="R104" s="402"/>
      <c r="S104" s="402"/>
      <c r="T104" s="402"/>
      <c r="U104" s="402"/>
      <c r="V104" s="538"/>
      <c r="CC104" s="535"/>
      <c r="CD104" s="390">
        <v>15</v>
      </c>
      <c r="CE104" s="390"/>
    </row>
    <row r="105" spans="2:84" ht="9.9499999999999993" customHeight="1" x14ac:dyDescent="0.2">
      <c r="B105" s="538"/>
      <c r="C105" s="445"/>
      <c r="D105" s="838" t="s">
        <v>402</v>
      </c>
      <c r="E105" s="838"/>
      <c r="F105" s="838"/>
      <c r="G105" s="838"/>
      <c r="H105" s="522"/>
      <c r="I105" s="522"/>
      <c r="J105" s="522"/>
      <c r="K105" s="522"/>
      <c r="L105" s="522"/>
      <c r="M105" s="522"/>
      <c r="N105" s="522"/>
      <c r="O105" s="522"/>
      <c r="P105" s="402"/>
      <c r="Q105" s="402"/>
      <c r="R105" s="402"/>
      <c r="S105" s="402"/>
      <c r="T105" s="402"/>
      <c r="U105" s="402"/>
      <c r="V105" s="538"/>
      <c r="CC105" s="535"/>
      <c r="CD105" s="390">
        <v>16</v>
      </c>
      <c r="CE105" s="390"/>
    </row>
    <row r="106" spans="2:84" ht="9.9499999999999993" customHeight="1" x14ac:dyDescent="0.2">
      <c r="B106" s="538"/>
      <c r="C106" s="445"/>
      <c r="D106" s="838"/>
      <c r="E106" s="838"/>
      <c r="F106" s="838"/>
      <c r="G106" s="838"/>
      <c r="H106" s="522"/>
      <c r="I106" s="522"/>
      <c r="J106" s="522"/>
      <c r="K106" s="522"/>
      <c r="L106" s="522"/>
      <c r="M106" s="522"/>
      <c r="N106" s="522"/>
      <c r="O106" s="522"/>
      <c r="P106" s="402"/>
      <c r="Q106" s="402"/>
      <c r="R106" s="402"/>
      <c r="S106" s="402"/>
      <c r="T106" s="402"/>
      <c r="U106" s="402"/>
      <c r="V106" s="538"/>
      <c r="CC106" s="535"/>
      <c r="CD106" s="390">
        <v>17</v>
      </c>
      <c r="CE106" s="390"/>
    </row>
    <row r="107" spans="2:84" ht="12.75" customHeight="1" thickBot="1" x14ac:dyDescent="0.25">
      <c r="B107" s="538"/>
      <c r="C107" s="445"/>
      <c r="D107" s="839"/>
      <c r="E107" s="839"/>
      <c r="F107" s="839"/>
      <c r="G107" s="839"/>
      <c r="H107" s="508"/>
      <c r="I107" s="508"/>
      <c r="J107" s="508"/>
      <c r="K107" s="508"/>
      <c r="L107" s="508"/>
      <c r="M107" s="508"/>
      <c r="N107" s="508"/>
      <c r="O107" s="508"/>
      <c r="P107" s="508"/>
      <c r="Q107" s="508"/>
      <c r="R107" s="508"/>
      <c r="S107" s="508"/>
      <c r="T107" s="508"/>
      <c r="U107" s="402"/>
      <c r="V107" s="538"/>
      <c r="CC107" s="535"/>
      <c r="CD107" s="390">
        <v>18</v>
      </c>
      <c r="CE107" s="390"/>
    </row>
    <row r="108" spans="2:84" ht="12.75" customHeight="1" x14ac:dyDescent="0.2">
      <c r="B108" s="538"/>
      <c r="C108" s="445"/>
      <c r="D108" s="402"/>
      <c r="E108" s="402"/>
      <c r="F108" s="402"/>
      <c r="G108" s="402"/>
      <c r="H108" s="402"/>
      <c r="I108" s="402"/>
      <c r="J108" s="402"/>
      <c r="K108" s="402"/>
      <c r="L108" s="402"/>
      <c r="M108" s="402"/>
      <c r="N108" s="402"/>
      <c r="O108" s="402"/>
      <c r="P108" s="402"/>
      <c r="Q108" s="402"/>
      <c r="R108" s="402"/>
      <c r="S108" s="402"/>
      <c r="T108" s="402"/>
      <c r="U108" s="402"/>
      <c r="V108" s="538"/>
      <c r="CC108" s="384"/>
    </row>
    <row r="109" spans="2:84" ht="12.75" customHeight="1" x14ac:dyDescent="0.2">
      <c r="B109" s="538"/>
      <c r="C109" s="445"/>
      <c r="D109" s="402"/>
      <c r="E109" s="522"/>
      <c r="F109" s="522"/>
      <c r="G109" s="522"/>
      <c r="H109" s="522"/>
      <c r="I109" s="522"/>
      <c r="J109" s="522"/>
      <c r="K109" s="522"/>
      <c r="L109" s="522"/>
      <c r="M109" s="522"/>
      <c r="N109" s="522"/>
      <c r="O109" s="522"/>
      <c r="P109" s="402"/>
      <c r="Q109" s="402"/>
      <c r="R109" s="402"/>
      <c r="S109" s="402"/>
      <c r="T109" s="402"/>
      <c r="U109" s="402"/>
      <c r="V109" s="538"/>
      <c r="CC109" s="384"/>
    </row>
    <row r="110" spans="2:84" ht="12.75" customHeight="1" x14ac:dyDescent="0.2">
      <c r="B110" s="538"/>
      <c r="C110" s="445"/>
      <c r="D110" s="402"/>
      <c r="E110" s="522"/>
      <c r="F110" s="522"/>
      <c r="G110" s="522"/>
      <c r="H110" s="522"/>
      <c r="I110" s="522"/>
      <c r="J110" s="522"/>
      <c r="K110" s="522"/>
      <c r="L110" s="522"/>
      <c r="M110" s="522"/>
      <c r="N110" s="522"/>
      <c r="O110" s="522"/>
      <c r="P110" s="402"/>
      <c r="Q110" s="402"/>
      <c r="R110" s="402"/>
      <c r="S110" s="402"/>
      <c r="T110" s="402"/>
      <c r="U110" s="402"/>
      <c r="V110" s="538"/>
      <c r="CC110" s="384"/>
    </row>
    <row r="111" spans="2:84" ht="12.75" customHeight="1" x14ac:dyDescent="0.2">
      <c r="B111" s="538"/>
      <c r="C111" s="445"/>
      <c r="D111" s="402"/>
      <c r="E111" s="402"/>
      <c r="F111" s="402"/>
      <c r="G111" s="402"/>
      <c r="H111" s="402"/>
      <c r="I111" s="402"/>
      <c r="J111" s="402"/>
      <c r="K111" s="402"/>
      <c r="L111" s="402"/>
      <c r="M111" s="402"/>
      <c r="N111" s="402"/>
      <c r="O111" s="402"/>
      <c r="P111" s="402"/>
      <c r="Q111" s="402"/>
      <c r="R111" s="402"/>
      <c r="S111" s="402"/>
      <c r="T111" s="402"/>
      <c r="U111" s="402"/>
      <c r="V111" s="538"/>
      <c r="CC111" s="384"/>
    </row>
    <row r="112" spans="2:84" ht="12.75" customHeight="1" x14ac:dyDescent="0.2">
      <c r="B112" s="538"/>
      <c r="C112" s="445"/>
      <c r="D112" s="754" t="s">
        <v>456</v>
      </c>
      <c r="E112" s="756"/>
      <c r="F112" s="553"/>
      <c r="G112" s="763" t="s">
        <v>149</v>
      </c>
      <c r="H112" s="763"/>
      <c r="I112" s="754" t="s">
        <v>158</v>
      </c>
      <c r="J112" s="755"/>
      <c r="K112" s="755"/>
      <c r="L112" s="756"/>
      <c r="M112" s="754" t="s">
        <v>401</v>
      </c>
      <c r="N112" s="755"/>
      <c r="O112" s="755"/>
      <c r="P112" s="756"/>
      <c r="Q112" s="754" t="s">
        <v>167</v>
      </c>
      <c r="R112" s="755"/>
      <c r="S112" s="756"/>
      <c r="T112" s="592"/>
      <c r="U112" s="402"/>
      <c r="V112" s="538"/>
      <c r="CC112" s="384"/>
    </row>
    <row r="113" spans="2:81" ht="12.75" customHeight="1" x14ac:dyDescent="0.2">
      <c r="B113" s="538"/>
      <c r="C113" s="445"/>
      <c r="D113" s="757"/>
      <c r="E113" s="759"/>
      <c r="F113" s="553"/>
      <c r="G113" s="763"/>
      <c r="H113" s="763"/>
      <c r="I113" s="757"/>
      <c r="J113" s="758"/>
      <c r="K113" s="758"/>
      <c r="L113" s="759"/>
      <c r="M113" s="757"/>
      <c r="N113" s="758"/>
      <c r="O113" s="758"/>
      <c r="P113" s="759"/>
      <c r="Q113" s="757"/>
      <c r="R113" s="758"/>
      <c r="S113" s="759"/>
      <c r="T113" s="592"/>
      <c r="U113" s="402"/>
      <c r="V113" s="538"/>
      <c r="CC113" s="384"/>
    </row>
    <row r="114" spans="2:81" ht="12.75" customHeight="1" x14ac:dyDescent="0.2">
      <c r="B114" s="538"/>
      <c r="C114" s="445"/>
      <c r="D114" s="757"/>
      <c r="E114" s="759"/>
      <c r="F114" s="553"/>
      <c r="G114" s="763"/>
      <c r="H114" s="763"/>
      <c r="I114" s="757"/>
      <c r="J114" s="758"/>
      <c r="K114" s="758"/>
      <c r="L114" s="759"/>
      <c r="M114" s="757"/>
      <c r="N114" s="758"/>
      <c r="O114" s="758"/>
      <c r="P114" s="759"/>
      <c r="Q114" s="757"/>
      <c r="R114" s="758"/>
      <c r="S114" s="759"/>
      <c r="T114" s="592"/>
      <c r="U114" s="402"/>
      <c r="V114" s="538"/>
      <c r="CC114" s="384"/>
    </row>
    <row r="115" spans="2:81" ht="18" customHeight="1" x14ac:dyDescent="0.2">
      <c r="B115" s="538"/>
      <c r="C115" s="445"/>
      <c r="D115" s="757"/>
      <c r="E115" s="759"/>
      <c r="F115" s="553"/>
      <c r="G115" s="763"/>
      <c r="H115" s="763"/>
      <c r="I115" s="757"/>
      <c r="J115" s="758"/>
      <c r="K115" s="758"/>
      <c r="L115" s="759"/>
      <c r="M115" s="757"/>
      <c r="N115" s="758"/>
      <c r="O115" s="758"/>
      <c r="P115" s="759"/>
      <c r="Q115" s="757"/>
      <c r="R115" s="758"/>
      <c r="S115" s="759"/>
      <c r="T115" s="592"/>
      <c r="U115" s="402"/>
      <c r="V115" s="538"/>
      <c r="CC115" s="384"/>
    </row>
    <row r="116" spans="2:81" ht="12.75" customHeight="1" x14ac:dyDescent="0.2">
      <c r="B116" s="538"/>
      <c r="C116" s="445"/>
      <c r="D116" s="760"/>
      <c r="E116" s="762"/>
      <c r="F116" s="553"/>
      <c r="G116" s="763"/>
      <c r="H116" s="763"/>
      <c r="I116" s="760"/>
      <c r="J116" s="761"/>
      <c r="K116" s="761"/>
      <c r="L116" s="762"/>
      <c r="M116" s="760"/>
      <c r="N116" s="761"/>
      <c r="O116" s="761"/>
      <c r="P116" s="762"/>
      <c r="Q116" s="760"/>
      <c r="R116" s="761"/>
      <c r="S116" s="762"/>
      <c r="T116" s="592"/>
      <c r="U116" s="402"/>
      <c r="V116" s="538"/>
      <c r="CC116" s="384"/>
    </row>
    <row r="117" spans="2:81" ht="12.75" customHeight="1" x14ac:dyDescent="0.2">
      <c r="B117" s="538"/>
      <c r="C117" s="445"/>
      <c r="D117" s="784">
        <f ca="1">SUM(N91:P92)</f>
        <v>191800</v>
      </c>
      <c r="E117" s="786"/>
      <c r="F117" s="553"/>
      <c r="G117" s="768">
        <f ca="1">N92</f>
        <v>176800</v>
      </c>
      <c r="H117" s="768"/>
      <c r="I117" s="784">
        <f ca="1">IF(H3="Tabela SAC",N92/E25+E29*1.08*N92,PMT(E29*1.08,E25,-N92,0,0))</f>
        <v>1296.7807034654022</v>
      </c>
      <c r="J117" s="785"/>
      <c r="K117" s="785"/>
      <c r="L117" s="786"/>
      <c r="M117" s="784">
        <f ca="1">IF(H3="Tabela SAC",N92/E25,PMT(E29*1.08,E25,-N92,0,0))</f>
        <v>1296.7807034654022</v>
      </c>
      <c r="N117" s="785"/>
      <c r="O117" s="785"/>
      <c r="P117" s="786"/>
      <c r="Q117" s="814">
        <f>E25</f>
        <v>360</v>
      </c>
      <c r="R117" s="815"/>
      <c r="S117" s="816"/>
      <c r="T117" s="402"/>
      <c r="U117" s="402"/>
      <c r="V117" s="538"/>
      <c r="CC117" s="384"/>
    </row>
    <row r="118" spans="2:81" ht="21" customHeight="1" x14ac:dyDescent="0.2">
      <c r="B118" s="538"/>
      <c r="C118" s="445"/>
      <c r="D118" s="787"/>
      <c r="E118" s="789"/>
      <c r="F118" s="553"/>
      <c r="G118" s="768"/>
      <c r="H118" s="768"/>
      <c r="I118" s="787"/>
      <c r="J118" s="788"/>
      <c r="K118" s="788"/>
      <c r="L118" s="789"/>
      <c r="M118" s="787"/>
      <c r="N118" s="788"/>
      <c r="O118" s="788"/>
      <c r="P118" s="789"/>
      <c r="Q118" s="817"/>
      <c r="R118" s="818"/>
      <c r="S118" s="819"/>
      <c r="T118" s="402"/>
      <c r="U118" s="402"/>
      <c r="V118" s="538"/>
      <c r="CC118" s="384"/>
    </row>
    <row r="119" spans="2:81" ht="15.75" customHeight="1" x14ac:dyDescent="0.2">
      <c r="B119" s="538"/>
      <c r="C119" s="445"/>
      <c r="D119" s="790"/>
      <c r="E119" s="792"/>
      <c r="F119" s="564"/>
      <c r="G119" s="768"/>
      <c r="H119" s="768"/>
      <c r="I119" s="790"/>
      <c r="J119" s="791"/>
      <c r="K119" s="791"/>
      <c r="L119" s="792"/>
      <c r="M119" s="790"/>
      <c r="N119" s="791"/>
      <c r="O119" s="791"/>
      <c r="P119" s="792"/>
      <c r="Q119" s="820"/>
      <c r="R119" s="821"/>
      <c r="S119" s="822"/>
      <c r="T119" s="402"/>
      <c r="U119" s="402"/>
      <c r="V119" s="538"/>
      <c r="CC119" s="384"/>
    </row>
    <row r="120" spans="2:81" ht="3" customHeight="1" x14ac:dyDescent="0.2">
      <c r="B120" s="538"/>
      <c r="C120" s="445"/>
      <c r="D120" s="402"/>
      <c r="E120" s="402"/>
      <c r="F120" s="585"/>
      <c r="G120" s="585"/>
      <c r="H120" s="585"/>
      <c r="I120" s="593"/>
      <c r="J120" s="594"/>
      <c r="K120" s="594"/>
      <c r="L120" s="593"/>
      <c r="M120" s="593"/>
      <c r="N120" s="595"/>
      <c r="O120" s="595"/>
      <c r="P120" s="595"/>
      <c r="Q120" s="402"/>
      <c r="R120" s="402"/>
      <c r="S120" s="402"/>
      <c r="T120" s="402"/>
      <c r="U120" s="402"/>
      <c r="V120" s="538"/>
      <c r="CC120" s="384"/>
    </row>
    <row r="121" spans="2:81" ht="5.25" customHeight="1" x14ac:dyDescent="0.2">
      <c r="B121" s="538"/>
      <c r="C121" s="445"/>
      <c r="D121" s="402"/>
      <c r="E121" s="402"/>
      <c r="F121" s="596"/>
      <c r="G121" s="596"/>
      <c r="H121" s="596"/>
      <c r="I121" s="597"/>
      <c r="J121" s="402"/>
      <c r="K121" s="402"/>
      <c r="L121" s="597"/>
      <c r="M121" s="597"/>
      <c r="N121" s="402"/>
      <c r="O121" s="402"/>
      <c r="P121" s="402"/>
      <c r="Q121" s="402"/>
      <c r="R121" s="402"/>
      <c r="S121" s="402"/>
      <c r="T121" s="402"/>
      <c r="U121" s="402"/>
      <c r="V121" s="538"/>
      <c r="CC121" s="384"/>
    </row>
    <row r="122" spans="2:81" ht="9.75" customHeight="1" x14ac:dyDescent="0.2">
      <c r="B122" s="538"/>
      <c r="C122" s="445"/>
      <c r="D122" s="402"/>
      <c r="E122" s="402"/>
      <c r="F122" s="402"/>
      <c r="G122" s="402"/>
      <c r="H122" s="402"/>
      <c r="I122" s="402"/>
      <c r="J122" s="402"/>
      <c r="K122" s="402"/>
      <c r="L122" s="402"/>
      <c r="M122" s="402"/>
      <c r="N122" s="402"/>
      <c r="O122" s="402"/>
      <c r="P122" s="402"/>
      <c r="Q122" s="402"/>
      <c r="R122" s="402"/>
      <c r="S122" s="402"/>
      <c r="T122" s="402"/>
      <c r="U122" s="402"/>
      <c r="V122" s="538"/>
      <c r="CC122" s="384"/>
    </row>
    <row r="123" spans="2:81" ht="16.5" customHeight="1" x14ac:dyDescent="0.2">
      <c r="B123" s="538"/>
      <c r="C123" s="445"/>
      <c r="D123" s="402"/>
      <c r="E123" s="402"/>
      <c r="F123" s="596"/>
      <c r="G123" s="596"/>
      <c r="H123" s="596"/>
      <c r="I123" s="597"/>
      <c r="J123" s="402"/>
      <c r="K123" s="402"/>
      <c r="L123" s="597"/>
      <c r="M123" s="597"/>
      <c r="N123" s="402"/>
      <c r="O123" s="402"/>
      <c r="P123" s="402"/>
      <c r="Q123" s="402"/>
      <c r="R123" s="402"/>
      <c r="S123" s="402"/>
      <c r="T123" s="402"/>
      <c r="U123" s="402"/>
      <c r="V123" s="538"/>
      <c r="CC123" s="384"/>
    </row>
    <row r="124" spans="2:81" ht="9" customHeight="1" x14ac:dyDescent="0.2">
      <c r="B124" s="538"/>
      <c r="C124" s="445"/>
      <c r="D124" s="402"/>
      <c r="E124" s="402"/>
      <c r="F124" s="402"/>
      <c r="G124" s="402"/>
      <c r="H124" s="402"/>
      <c r="I124" s="402"/>
      <c r="J124" s="402"/>
      <c r="K124" s="402"/>
      <c r="L124" s="402"/>
      <c r="M124" s="402"/>
      <c r="N124" s="402"/>
      <c r="O124" s="402"/>
      <c r="P124" s="402"/>
      <c r="Q124" s="402"/>
      <c r="R124" s="402"/>
      <c r="S124" s="402"/>
      <c r="T124" s="402"/>
      <c r="U124" s="402"/>
      <c r="V124" s="538"/>
      <c r="CC124" s="384"/>
    </row>
    <row r="125" spans="2:81" ht="12.75" customHeight="1" x14ac:dyDescent="0.2">
      <c r="B125" s="538"/>
      <c r="C125" s="445"/>
      <c r="D125" s="402"/>
      <c r="E125" s="402"/>
      <c r="F125" s="596"/>
      <c r="G125" s="596"/>
      <c r="H125" s="596"/>
      <c r="I125" s="597"/>
      <c r="J125" s="402"/>
      <c r="K125" s="402"/>
      <c r="L125" s="597"/>
      <c r="M125" s="597"/>
      <c r="N125" s="402"/>
      <c r="O125" s="402"/>
      <c r="P125" s="402"/>
      <c r="Q125" s="402"/>
      <c r="R125" s="402"/>
      <c r="S125" s="402"/>
      <c r="T125" s="402"/>
      <c r="U125" s="402"/>
      <c r="V125" s="538"/>
      <c r="CC125" s="384"/>
    </row>
    <row r="126" spans="2:81" ht="12.75" customHeight="1" x14ac:dyDescent="0.2">
      <c r="B126" s="538"/>
      <c r="C126" s="445"/>
      <c r="D126" s="402"/>
      <c r="E126" s="402"/>
      <c r="F126" s="402"/>
      <c r="G126" s="402"/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2"/>
      <c r="V126" s="538"/>
      <c r="CC126" s="384"/>
    </row>
    <row r="127" spans="2:81" ht="12.75" customHeight="1" x14ac:dyDescent="0.2">
      <c r="B127" s="538"/>
      <c r="C127" s="445"/>
      <c r="D127" s="402"/>
      <c r="E127" s="402"/>
      <c r="F127" s="402"/>
      <c r="G127" s="402"/>
      <c r="H127" s="402"/>
      <c r="I127" s="402"/>
      <c r="J127" s="402"/>
      <c r="K127" s="402"/>
      <c r="L127" s="402"/>
      <c r="M127" s="402"/>
      <c r="N127" s="402"/>
      <c r="O127" s="402"/>
      <c r="P127" s="402"/>
      <c r="Q127" s="402"/>
      <c r="R127" s="402"/>
      <c r="S127" s="402"/>
      <c r="T127" s="402"/>
      <c r="U127" s="402"/>
      <c r="V127" s="538"/>
      <c r="CC127" s="384"/>
    </row>
    <row r="128" spans="2:81" ht="12.75" customHeight="1" x14ac:dyDescent="0.2">
      <c r="B128" s="538"/>
      <c r="C128" s="445"/>
      <c r="D128" s="402"/>
      <c r="E128" s="402"/>
      <c r="F128" s="402"/>
      <c r="G128" s="763" t="s">
        <v>171</v>
      </c>
      <c r="H128" s="763"/>
      <c r="I128" s="763"/>
      <c r="J128" s="763"/>
      <c r="K128" s="754" t="s">
        <v>169</v>
      </c>
      <c r="L128" s="755"/>
      <c r="M128" s="755"/>
      <c r="N128" s="756"/>
      <c r="O128" s="402"/>
      <c r="P128" s="402"/>
      <c r="Q128" s="402"/>
      <c r="R128" s="402"/>
      <c r="S128" s="402"/>
      <c r="T128" s="402"/>
      <c r="U128" s="402"/>
      <c r="V128" s="538"/>
      <c r="CC128" s="384"/>
    </row>
    <row r="129" spans="2:81" ht="22.5" customHeight="1" x14ac:dyDescent="0.2">
      <c r="B129" s="538"/>
      <c r="C129" s="445"/>
      <c r="D129" s="402"/>
      <c r="E129" s="402"/>
      <c r="F129" s="402"/>
      <c r="G129" s="763"/>
      <c r="H129" s="763"/>
      <c r="I129" s="763"/>
      <c r="J129" s="763"/>
      <c r="K129" s="757"/>
      <c r="L129" s="758"/>
      <c r="M129" s="758"/>
      <c r="N129" s="759"/>
      <c r="O129" s="402"/>
      <c r="P129" s="402"/>
      <c r="Q129" s="402"/>
      <c r="R129" s="402"/>
      <c r="S129" s="402"/>
      <c r="T129" s="402"/>
      <c r="U129" s="402"/>
      <c r="V129" s="538"/>
      <c r="CC129" s="384"/>
    </row>
    <row r="130" spans="2:81" ht="22.5" customHeight="1" x14ac:dyDescent="0.2">
      <c r="B130" s="538"/>
      <c r="C130" s="402"/>
      <c r="D130" s="402"/>
      <c r="E130" s="402"/>
      <c r="F130" s="402"/>
      <c r="G130" s="763"/>
      <c r="H130" s="763"/>
      <c r="I130" s="763"/>
      <c r="J130" s="763"/>
      <c r="K130" s="760"/>
      <c r="L130" s="761"/>
      <c r="M130" s="761"/>
      <c r="N130" s="762"/>
      <c r="O130" s="402"/>
      <c r="P130" s="402"/>
      <c r="Q130" s="402"/>
      <c r="R130" s="402"/>
      <c r="S130" s="402"/>
      <c r="T130" s="402"/>
      <c r="U130" s="402"/>
      <c r="V130" s="538"/>
      <c r="CC130" s="384"/>
    </row>
    <row r="131" spans="2:81" ht="12.75" customHeight="1" x14ac:dyDescent="0.2">
      <c r="B131" s="538"/>
      <c r="C131" s="402"/>
      <c r="D131" s="402"/>
      <c r="E131" s="402"/>
      <c r="F131" s="402"/>
      <c r="G131" s="753">
        <f ca="1">K131*20%</f>
        <v>196.34181975736556</v>
      </c>
      <c r="H131" s="753"/>
      <c r="I131" s="753"/>
      <c r="J131" s="753"/>
      <c r="K131" s="784">
        <f ca="1">G117*0.9*E29</f>
        <v>981.70909878682767</v>
      </c>
      <c r="L131" s="785"/>
      <c r="M131" s="785"/>
      <c r="N131" s="786"/>
      <c r="O131" s="402"/>
      <c r="P131" s="402"/>
      <c r="Q131" s="402"/>
      <c r="R131" s="402"/>
      <c r="S131" s="402"/>
      <c r="T131" s="402"/>
      <c r="U131" s="402"/>
      <c r="V131" s="538"/>
      <c r="CC131" s="384"/>
    </row>
    <row r="132" spans="2:81" ht="43.5" customHeight="1" x14ac:dyDescent="0.2">
      <c r="B132" s="538"/>
      <c r="C132" s="402"/>
      <c r="D132" s="402"/>
      <c r="E132" s="402"/>
      <c r="F132" s="402"/>
      <c r="G132" s="753"/>
      <c r="H132" s="753"/>
      <c r="I132" s="753"/>
      <c r="J132" s="753"/>
      <c r="K132" s="790"/>
      <c r="L132" s="791"/>
      <c r="M132" s="791"/>
      <c r="N132" s="792"/>
      <c r="O132" s="402"/>
      <c r="P132" s="402"/>
      <c r="Q132" s="402"/>
      <c r="R132" s="402"/>
      <c r="S132" s="402"/>
      <c r="T132" s="402"/>
      <c r="U132" s="402"/>
      <c r="V132" s="538"/>
      <c r="CC132" s="384"/>
    </row>
    <row r="133" spans="2:81" ht="12.75" customHeight="1" x14ac:dyDescent="0.2">
      <c r="B133" s="538"/>
      <c r="C133" s="402"/>
      <c r="D133" s="402"/>
      <c r="E133" s="402"/>
      <c r="F133" s="402"/>
      <c r="G133" s="402"/>
      <c r="H133" s="402"/>
      <c r="I133" s="402"/>
      <c r="J133" s="402"/>
      <c r="K133" s="402"/>
      <c r="L133" s="402"/>
      <c r="M133" s="402"/>
      <c r="N133" s="402"/>
      <c r="O133" s="402"/>
      <c r="P133" s="402"/>
      <c r="Q133" s="402"/>
      <c r="R133" s="402"/>
      <c r="S133" s="402"/>
      <c r="T133" s="402"/>
      <c r="U133" s="402"/>
      <c r="V133" s="538"/>
      <c r="CC133" s="384"/>
    </row>
    <row r="134" spans="2:81" ht="4.5" customHeight="1" x14ac:dyDescent="0.2">
      <c r="B134" s="538"/>
      <c r="C134" s="402"/>
      <c r="D134" s="645"/>
      <c r="E134" s="645"/>
      <c r="F134" s="645"/>
      <c r="G134" s="645"/>
      <c r="H134" s="646"/>
      <c r="I134" s="646"/>
      <c r="J134" s="646"/>
      <c r="K134" s="646"/>
      <c r="L134" s="646"/>
      <c r="M134" s="645"/>
      <c r="N134" s="645"/>
      <c r="O134" s="645"/>
      <c r="P134" s="598"/>
      <c r="Q134" s="644"/>
      <c r="R134" s="644"/>
      <c r="S134" s="644"/>
      <c r="T134" s="402"/>
      <c r="U134" s="402"/>
      <c r="V134" s="538"/>
      <c r="CC134" s="384"/>
    </row>
    <row r="135" spans="2:81" ht="12.75" hidden="1" customHeight="1" x14ac:dyDescent="0.2">
      <c r="B135" s="538"/>
      <c r="C135" s="402"/>
      <c r="D135" s="783"/>
      <c r="E135" s="783"/>
      <c r="F135" s="402"/>
      <c r="G135" s="402"/>
      <c r="H135" s="793"/>
      <c r="I135" s="793"/>
      <c r="J135" s="793"/>
      <c r="K135" s="793"/>
      <c r="L135" s="793"/>
      <c r="M135" s="402"/>
      <c r="N135" s="402"/>
      <c r="O135" s="402"/>
      <c r="P135" s="598"/>
      <c r="Q135" s="402"/>
      <c r="R135" s="402"/>
      <c r="S135" s="402"/>
      <c r="T135" s="402"/>
      <c r="U135" s="402"/>
      <c r="V135" s="538"/>
      <c r="CC135" s="384"/>
    </row>
    <row r="136" spans="2:81" ht="3" hidden="1" customHeight="1" x14ac:dyDescent="0.2">
      <c r="B136" s="538"/>
      <c r="C136" s="402"/>
      <c r="D136" s="783"/>
      <c r="E136" s="783"/>
      <c r="F136" s="402"/>
      <c r="G136" s="402"/>
      <c r="H136" s="793"/>
      <c r="I136" s="793"/>
      <c r="J136" s="793"/>
      <c r="K136" s="793"/>
      <c r="L136" s="793"/>
      <c r="M136" s="402"/>
      <c r="N136" s="402"/>
      <c r="O136" s="402"/>
      <c r="P136" s="598"/>
      <c r="Q136" s="402"/>
      <c r="R136" s="402"/>
      <c r="S136" s="402"/>
      <c r="T136" s="402"/>
      <c r="U136" s="402"/>
      <c r="V136" s="538"/>
      <c r="CC136" s="384"/>
    </row>
    <row r="137" spans="2:81" ht="6" hidden="1" customHeight="1" x14ac:dyDescent="0.2">
      <c r="B137" s="538"/>
      <c r="C137" s="402"/>
      <c r="D137" s="402"/>
      <c r="E137" s="402"/>
      <c r="F137" s="402"/>
      <c r="G137" s="402"/>
      <c r="H137" s="402"/>
      <c r="I137" s="402"/>
      <c r="J137" s="402"/>
      <c r="K137" s="402"/>
      <c r="L137" s="402"/>
      <c r="M137" s="402"/>
      <c r="N137" s="402"/>
      <c r="O137" s="402"/>
      <c r="P137" s="402"/>
      <c r="Q137" s="402"/>
      <c r="R137" s="402"/>
      <c r="S137" s="402"/>
      <c r="T137" s="402"/>
      <c r="U137" s="402"/>
      <c r="V137" s="538"/>
      <c r="CC137" s="384"/>
    </row>
    <row r="138" spans="2:81" ht="9" hidden="1" customHeight="1" x14ac:dyDescent="0.2">
      <c r="B138" s="538"/>
      <c r="C138" s="402"/>
      <c r="D138" s="402"/>
      <c r="E138" s="402"/>
      <c r="F138" s="402"/>
      <c r="G138" s="402"/>
      <c r="H138" s="402"/>
      <c r="I138" s="402"/>
      <c r="J138" s="402"/>
      <c r="K138" s="402"/>
      <c r="L138" s="402"/>
      <c r="M138" s="402"/>
      <c r="N138" s="402"/>
      <c r="O138" s="402"/>
      <c r="P138" s="402"/>
      <c r="Q138" s="402"/>
      <c r="R138" s="402"/>
      <c r="S138" s="402"/>
      <c r="T138" s="402"/>
      <c r="U138" s="402"/>
      <c r="V138" s="538"/>
      <c r="CC138" s="384"/>
    </row>
    <row r="139" spans="2:81" ht="12.75" hidden="1" customHeight="1" x14ac:dyDescent="0.2">
      <c r="B139" s="538"/>
      <c r="C139" s="402"/>
      <c r="D139" s="402"/>
      <c r="E139" s="402"/>
      <c r="F139" s="402"/>
      <c r="G139" s="402"/>
      <c r="H139" s="402"/>
      <c r="I139" s="402"/>
      <c r="J139" s="402"/>
      <c r="K139" s="402"/>
      <c r="L139" s="402"/>
      <c r="M139" s="402"/>
      <c r="N139" s="402"/>
      <c r="O139" s="402"/>
      <c r="P139" s="402"/>
      <c r="Q139" s="402"/>
      <c r="R139" s="402"/>
      <c r="S139" s="402"/>
      <c r="T139" s="402"/>
      <c r="U139" s="402"/>
      <c r="V139" s="538"/>
      <c r="CC139" s="384"/>
    </row>
    <row r="140" spans="2:81" ht="12.75" hidden="1" customHeight="1" x14ac:dyDescent="0.2">
      <c r="B140" s="538"/>
      <c r="C140" s="402"/>
      <c r="D140" s="837"/>
      <c r="E140" s="837"/>
      <c r="F140" s="837"/>
      <c r="G140" s="837"/>
      <c r="H140" s="837"/>
      <c r="I140" s="837"/>
      <c r="J140" s="837"/>
      <c r="K140" s="837"/>
      <c r="L140" s="837"/>
      <c r="M140" s="837"/>
      <c r="N140" s="837"/>
      <c r="O140" s="837"/>
      <c r="P140" s="837"/>
      <c r="Q140" s="837"/>
      <c r="R140" s="837"/>
      <c r="S140" s="837"/>
      <c r="T140" s="402"/>
      <c r="U140" s="402"/>
      <c r="V140" s="538"/>
      <c r="CC140" s="384"/>
    </row>
    <row r="141" spans="2:81" ht="12.75" hidden="1" customHeight="1" x14ac:dyDescent="0.2">
      <c r="B141" s="538"/>
      <c r="C141" s="402"/>
      <c r="D141" s="837"/>
      <c r="E141" s="837"/>
      <c r="F141" s="837"/>
      <c r="G141" s="837"/>
      <c r="H141" s="837"/>
      <c r="I141" s="837"/>
      <c r="J141" s="837"/>
      <c r="K141" s="837"/>
      <c r="L141" s="837"/>
      <c r="M141" s="837"/>
      <c r="N141" s="837"/>
      <c r="O141" s="837"/>
      <c r="P141" s="837"/>
      <c r="Q141" s="837"/>
      <c r="R141" s="837"/>
      <c r="S141" s="837"/>
      <c r="T141" s="402"/>
      <c r="U141" s="402"/>
      <c r="V141" s="538"/>
      <c r="CC141" s="384"/>
    </row>
    <row r="142" spans="2:81" ht="9.75" hidden="1" customHeight="1" x14ac:dyDescent="0.2">
      <c r="B142" s="538"/>
      <c r="C142" s="402"/>
      <c r="D142" s="837"/>
      <c r="E142" s="837"/>
      <c r="F142" s="837"/>
      <c r="G142" s="837"/>
      <c r="H142" s="837"/>
      <c r="I142" s="837"/>
      <c r="J142" s="837"/>
      <c r="K142" s="837"/>
      <c r="L142" s="837"/>
      <c r="M142" s="837"/>
      <c r="N142" s="837"/>
      <c r="O142" s="837"/>
      <c r="P142" s="837"/>
      <c r="Q142" s="837"/>
      <c r="R142" s="837"/>
      <c r="S142" s="837"/>
      <c r="T142" s="402"/>
      <c r="U142" s="402"/>
      <c r="V142" s="538"/>
      <c r="CC142" s="384"/>
    </row>
    <row r="143" spans="2:81" ht="23.25" hidden="1" customHeight="1" x14ac:dyDescent="0.2">
      <c r="B143" s="538"/>
      <c r="C143" s="402"/>
      <c r="D143" s="402"/>
      <c r="E143" s="402"/>
      <c r="F143" s="402"/>
      <c r="G143" s="402"/>
      <c r="H143" s="402"/>
      <c r="I143" s="402"/>
      <c r="J143" s="402"/>
      <c r="K143" s="402"/>
      <c r="L143" s="402"/>
      <c r="M143" s="402"/>
      <c r="N143" s="402"/>
      <c r="O143" s="402"/>
      <c r="P143" s="402"/>
      <c r="Q143" s="402"/>
      <c r="R143" s="402"/>
      <c r="S143" s="402"/>
      <c r="T143" s="402"/>
      <c r="U143" s="402"/>
      <c r="V143" s="538"/>
      <c r="CC143" s="384"/>
    </row>
    <row r="144" spans="2:81" ht="12.75" hidden="1" customHeight="1" x14ac:dyDescent="0.2">
      <c r="B144" s="538"/>
      <c r="C144" s="402"/>
      <c r="D144" s="402"/>
      <c r="E144" s="402"/>
      <c r="F144" s="402"/>
      <c r="G144" s="402"/>
      <c r="H144" s="402"/>
      <c r="I144" s="402"/>
      <c r="J144" s="402"/>
      <c r="K144" s="402"/>
      <c r="L144" s="402"/>
      <c r="M144" s="402"/>
      <c r="N144" s="402"/>
      <c r="O144" s="402"/>
      <c r="P144" s="402"/>
      <c r="Q144" s="402"/>
      <c r="R144" s="402"/>
      <c r="S144" s="402"/>
      <c r="T144" s="402"/>
      <c r="U144" s="402"/>
      <c r="V144" s="538"/>
      <c r="CC144" s="384"/>
    </row>
    <row r="145" spans="2:81" ht="19.5" hidden="1" customHeight="1" thickBot="1" x14ac:dyDescent="0.25">
      <c r="B145" s="599"/>
      <c r="C145" s="600"/>
      <c r="D145" s="600"/>
      <c r="E145" s="600"/>
      <c r="F145" s="600"/>
      <c r="G145" s="600"/>
      <c r="H145" s="600"/>
      <c r="I145" s="600"/>
      <c r="J145" s="600"/>
      <c r="K145" s="600"/>
      <c r="L145" s="600"/>
      <c r="M145" s="600"/>
      <c r="N145" s="600"/>
      <c r="O145" s="600"/>
      <c r="P145" s="600"/>
      <c r="Q145" s="600"/>
      <c r="R145" s="600"/>
      <c r="S145" s="600"/>
      <c r="T145" s="600"/>
      <c r="U145" s="600"/>
      <c r="V145" s="538"/>
      <c r="CC145" s="384"/>
    </row>
    <row r="146" spans="2:81" ht="22.5" hidden="1" customHeight="1" x14ac:dyDescent="0.2">
      <c r="D146" s="414"/>
      <c r="E146" s="414"/>
      <c r="F146" s="414"/>
      <c r="G146" s="414"/>
      <c r="H146" s="414"/>
      <c r="I146" s="414"/>
      <c r="J146" s="414"/>
      <c r="K146" s="414"/>
      <c r="L146" s="414"/>
      <c r="M146" s="414"/>
      <c r="N146" s="414"/>
      <c r="O146" s="414"/>
      <c r="P146" s="414"/>
      <c r="Q146" s="414"/>
      <c r="R146" s="414"/>
      <c r="S146" s="414"/>
      <c r="T146" s="414"/>
      <c r="U146" s="414"/>
      <c r="V146" s="414"/>
      <c r="CC146" s="384"/>
    </row>
    <row r="147" spans="2:81" ht="20.25" hidden="1" customHeight="1" x14ac:dyDescent="0.2">
      <c r="D147" s="414"/>
      <c r="E147" s="414"/>
      <c r="F147" s="414"/>
      <c r="G147" s="414"/>
      <c r="H147" s="414"/>
      <c r="I147" s="414"/>
      <c r="J147" s="414"/>
      <c r="K147" s="414"/>
      <c r="L147" s="414"/>
      <c r="M147" s="414"/>
      <c r="N147" s="414"/>
      <c r="O147" s="414"/>
      <c r="P147" s="414"/>
      <c r="Q147" s="414"/>
      <c r="R147" s="414"/>
      <c r="S147" s="414"/>
      <c r="T147" s="414"/>
      <c r="U147" s="414"/>
      <c r="V147" s="414"/>
      <c r="CC147" s="384"/>
    </row>
    <row r="148" spans="2:81" ht="20.25" hidden="1" customHeight="1" x14ac:dyDescent="0.2">
      <c r="D148" s="414"/>
      <c r="E148" s="414"/>
      <c r="F148" s="414"/>
      <c r="G148" s="414"/>
      <c r="H148" s="414"/>
      <c r="I148" s="414"/>
      <c r="J148" s="414"/>
      <c r="K148" s="414"/>
      <c r="L148" s="414"/>
      <c r="M148" s="414"/>
      <c r="N148" s="414"/>
      <c r="O148" s="414"/>
      <c r="P148" s="414"/>
      <c r="Q148" s="414"/>
      <c r="R148" s="414"/>
      <c r="S148" s="414"/>
      <c r="T148" s="414"/>
      <c r="U148" s="414"/>
      <c r="V148" s="414"/>
      <c r="CC148" s="384"/>
    </row>
    <row r="149" spans="2:81" ht="19.5" hidden="1" x14ac:dyDescent="0.2">
      <c r="G149" s="462"/>
      <c r="H149" s="462"/>
      <c r="I149" s="462"/>
      <c r="J149" s="462"/>
      <c r="K149" s="463"/>
      <c r="M149" s="462"/>
      <c r="R149" s="464"/>
      <c r="CC149" s="384"/>
    </row>
    <row r="150" spans="2:81" ht="19.5" hidden="1" customHeight="1" x14ac:dyDescent="0.2">
      <c r="L150" s="462"/>
      <c r="M150" s="462"/>
      <c r="R150" s="464"/>
      <c r="CC150" s="384"/>
    </row>
    <row r="151" spans="2:81" ht="24.95" hidden="1" customHeight="1" x14ac:dyDescent="0.2">
      <c r="O151" s="831"/>
      <c r="P151" s="831"/>
      <c r="CC151" s="384"/>
    </row>
    <row r="152" spans="2:81" hidden="1" x14ac:dyDescent="0.2">
      <c r="O152" s="831"/>
      <c r="P152" s="831"/>
      <c r="CC152" s="384"/>
    </row>
    <row r="153" spans="2:81" ht="12.75" hidden="1" customHeight="1" x14ac:dyDescent="0.2">
      <c r="G153" s="692" t="s">
        <v>144</v>
      </c>
      <c r="H153" s="692" t="s">
        <v>53</v>
      </c>
      <c r="I153" s="692" t="s">
        <v>146</v>
      </c>
      <c r="J153" s="692"/>
      <c r="K153" s="692"/>
      <c r="L153" s="693" t="s">
        <v>145</v>
      </c>
      <c r="M153" s="693" t="s">
        <v>15</v>
      </c>
      <c r="N153" s="694"/>
      <c r="O153" s="402"/>
      <c r="P153" s="402"/>
      <c r="Q153" s="693" t="s">
        <v>170</v>
      </c>
      <c r="R153" s="694"/>
      <c r="CC153" s="384"/>
    </row>
    <row r="154" spans="2:81" ht="21" hidden="1" customHeight="1" x14ac:dyDescent="0.2">
      <c r="G154" s="692"/>
      <c r="H154" s="692"/>
      <c r="I154" s="692"/>
      <c r="J154" s="692"/>
      <c r="K154" s="692"/>
      <c r="L154" s="695"/>
      <c r="M154" s="695"/>
      <c r="N154" s="696"/>
      <c r="O154" s="402"/>
      <c r="P154" s="402"/>
      <c r="Q154" s="695"/>
      <c r="R154" s="696"/>
      <c r="CC154" s="384"/>
    </row>
    <row r="155" spans="2:81" hidden="1" x14ac:dyDescent="0.2">
      <c r="O155" s="402"/>
      <c r="P155" s="402"/>
      <c r="CC155" s="384"/>
    </row>
    <row r="156" spans="2:81" ht="15" hidden="1" customHeight="1" x14ac:dyDescent="0.2">
      <c r="G156" s="465">
        <v>1</v>
      </c>
      <c r="H156" s="480" t="e">
        <f>#REF!</f>
        <v>#REF!</v>
      </c>
      <c r="I156" s="685" t="e">
        <f>IF(G156&lt;=#REF!,0,Apoio!#REF!)</f>
        <v>#REF!</v>
      </c>
      <c r="J156" s="688"/>
      <c r="K156" s="686"/>
      <c r="L156" s="636" t="e">
        <f>VLOOKUP(G156,$AB$253:$AC$336,2,FALSE)+VLOOKUP(G156,#REF!,2,FALSE)+VLOOKUP(G156,$AD$253:$AD$369,2,FALSE)+VLOOKUP(G156,$AE$253:$AF$369,2,FALSE)+VLOOKUP(G156,$AG$253:$AH$369,2,FALSE)+VLOOKUP(G156,$Z$253:$AA$369,2,FALSE)</f>
        <v>#N/A</v>
      </c>
      <c r="M156" s="685" t="e">
        <f t="shared" ref="M156:M195" si="1">L156+I156</f>
        <v>#N/A</v>
      </c>
      <c r="N156" s="686"/>
      <c r="O156" s="690"/>
      <c r="P156" s="691"/>
      <c r="Q156" s="685" t="e">
        <f>VLOOKUP(G156,$AB$253:$AC$336,2,FALSE)+VLOOKUP(G156,#REF!,2,FALSE)+VLOOKUP(G156,$AD$253:$AD$369,2,FALSE)+VLOOKUP(G156,$Z$253:$AA$369,2,FALSE)+IF(G156&lt;=#REF!,I156)</f>
        <v>#N/A</v>
      </c>
      <c r="R156" s="686"/>
      <c r="CC156" s="384"/>
    </row>
    <row r="157" spans="2:81" ht="15" hidden="1" customHeight="1" x14ac:dyDescent="0.2">
      <c r="G157" s="465">
        <v>2</v>
      </c>
      <c r="H157" s="480" t="e">
        <f>DATE(YEAR(H156),MONTH(H156)+1,DAY(H156))</f>
        <v>#REF!</v>
      </c>
      <c r="I157" s="685" t="e">
        <f>IF(G157&lt;=#REF!,0,Apoio!#REF!)</f>
        <v>#REF!</v>
      </c>
      <c r="J157" s="688"/>
      <c r="K157" s="686"/>
      <c r="L157" s="636" t="e">
        <f>VLOOKUP(G157,$AB$253:$AC$336,2,FALSE)+VLOOKUP(G157,#REF!,2,FALSE)+VLOOKUP(G157,$AD$253:$AD$369,2,FALSE)+VLOOKUP(G157,$AE$253:$AF$369,2,FALSE)+VLOOKUP(G157,$AG$253:$AH$369,2,FALSE)+VLOOKUP(G157,$Z$253:$AA$369,2,FALSE)</f>
        <v>#N/A</v>
      </c>
      <c r="M157" s="685" t="e">
        <f t="shared" si="1"/>
        <v>#N/A</v>
      </c>
      <c r="N157" s="686"/>
      <c r="O157" s="690"/>
      <c r="P157" s="691"/>
      <c r="Q157" s="685" t="e">
        <f>VLOOKUP(G157,$AB$253:$AC$336,2,FALSE)+VLOOKUP(G157,#REF!,2,FALSE)+VLOOKUP(G157,$AD$253:$AD$369,2,FALSE)+VLOOKUP(G157,$Z$253:$AA$369,2,FALSE)+IF(G157&lt;=#REF!,I157)</f>
        <v>#N/A</v>
      </c>
      <c r="R157" s="686"/>
      <c r="CC157" s="384"/>
    </row>
    <row r="158" spans="2:81" ht="15" hidden="1" customHeight="1" x14ac:dyDescent="0.2">
      <c r="G158" s="465">
        <v>3</v>
      </c>
      <c r="H158" s="480" t="e">
        <f t="shared" ref="H158:H195" si="2">DATE(YEAR(H157),MONTH(H157)+1,DAY(H157))</f>
        <v>#REF!</v>
      </c>
      <c r="I158" s="685" t="e">
        <f>IF(G158&lt;=#REF!,0,Apoio!#REF!)</f>
        <v>#REF!</v>
      </c>
      <c r="J158" s="688"/>
      <c r="K158" s="686"/>
      <c r="L158" s="636" t="e">
        <f>VLOOKUP(G158,$AB$253:$AC$336,2,FALSE)+VLOOKUP(G158,#REF!,2,FALSE)+VLOOKUP(G158,$AD$253:$AD$369,2,FALSE)+VLOOKUP(G158,$AE$253:$AF$369,2,FALSE)+VLOOKUP(G158,$AG$253:$AH$369,2,FALSE)+VLOOKUP(G158,$Z$253:$AA$369,2,FALSE)</f>
        <v>#N/A</v>
      </c>
      <c r="M158" s="685" t="e">
        <f t="shared" si="1"/>
        <v>#N/A</v>
      </c>
      <c r="N158" s="686"/>
      <c r="O158" s="690"/>
      <c r="P158" s="691"/>
      <c r="Q158" s="685" t="e">
        <f>VLOOKUP(G158,$AB$253:$AC$336,2,FALSE)+VLOOKUP(G158,#REF!,2,FALSE)+VLOOKUP(G158,$AD$253:$AD$369,2,FALSE)+VLOOKUP(G158,$Z$253:$AA$369,2,FALSE)+IF(G158&lt;=#REF!,I158)</f>
        <v>#N/A</v>
      </c>
      <c r="R158" s="686"/>
      <c r="CC158" s="384"/>
    </row>
    <row r="159" spans="2:81" ht="15" hidden="1" customHeight="1" x14ac:dyDescent="0.2">
      <c r="G159" s="465">
        <v>4</v>
      </c>
      <c r="H159" s="480" t="e">
        <f t="shared" si="2"/>
        <v>#REF!</v>
      </c>
      <c r="I159" s="685" t="e">
        <f>IF(G159&lt;=#REF!,0,Apoio!#REF!)</f>
        <v>#REF!</v>
      </c>
      <c r="J159" s="688"/>
      <c r="K159" s="686"/>
      <c r="L159" s="636" t="e">
        <f>VLOOKUP(G159,$AB$253:$AC$336,2,FALSE)+VLOOKUP(G159,#REF!,2,FALSE)+VLOOKUP(G159,$AD$253:$AD$369,2,FALSE)+VLOOKUP(G159,$AE$253:$AF$369,2,FALSE)+VLOOKUP(G159,$AG$253:$AH$369,2,FALSE)+VLOOKUP(G159,$Z$253:$AA$369,2,FALSE)</f>
        <v>#N/A</v>
      </c>
      <c r="M159" s="685" t="e">
        <f t="shared" si="1"/>
        <v>#N/A</v>
      </c>
      <c r="N159" s="686"/>
      <c r="O159" s="690"/>
      <c r="P159" s="691"/>
      <c r="Q159" s="685" t="e">
        <f>VLOOKUP(G159,$AB$253:$AC$336,2,FALSE)+VLOOKUP(G159,#REF!,2,FALSE)+VLOOKUP(G159,$AD$253:$AD$369,2,FALSE)+VLOOKUP(G159,$Z$253:$AA$369,2,FALSE)+IF(G159&lt;=#REF!,I159)</f>
        <v>#N/A</v>
      </c>
      <c r="R159" s="686"/>
      <c r="CC159" s="384"/>
    </row>
    <row r="160" spans="2:81" ht="15" hidden="1" customHeight="1" x14ac:dyDescent="0.2">
      <c r="G160" s="465">
        <v>5</v>
      </c>
      <c r="H160" s="480" t="e">
        <f t="shared" si="2"/>
        <v>#REF!</v>
      </c>
      <c r="I160" s="685" t="e">
        <f>IF(G160&lt;=#REF!,0,Apoio!#REF!)</f>
        <v>#REF!</v>
      </c>
      <c r="J160" s="688"/>
      <c r="K160" s="686"/>
      <c r="L160" s="636" t="e">
        <f>VLOOKUP(G160,$AB$253:$AC$336,2,FALSE)+VLOOKUP(G160,#REF!,2,FALSE)+VLOOKUP(G160,$AD$253:$AD$369,2,FALSE)+VLOOKUP(G160,$AE$253:$AF$369,2,FALSE)+VLOOKUP(G160,$AG$253:$AH$369,2,FALSE)+VLOOKUP(G160,$Z$253:$AA$369,2,FALSE)</f>
        <v>#N/A</v>
      </c>
      <c r="M160" s="685" t="e">
        <f t="shared" si="1"/>
        <v>#N/A</v>
      </c>
      <c r="N160" s="686"/>
      <c r="O160" s="690"/>
      <c r="P160" s="691"/>
      <c r="Q160" s="685" t="e">
        <f>VLOOKUP(G160,$AB$253:$AC$336,2,FALSE)+VLOOKUP(G160,#REF!,2,FALSE)+VLOOKUP(G160,$AD$253:$AD$369,2,FALSE)+VLOOKUP(G160,$Z$253:$AA$369,2,FALSE)+IF(G160&lt;=#REF!,I160)</f>
        <v>#N/A</v>
      </c>
      <c r="R160" s="686"/>
      <c r="CC160" s="384"/>
    </row>
    <row r="161" spans="7:81" ht="15" hidden="1" customHeight="1" x14ac:dyDescent="0.2">
      <c r="G161" s="465">
        <v>6</v>
      </c>
      <c r="H161" s="480" t="e">
        <f t="shared" si="2"/>
        <v>#REF!</v>
      </c>
      <c r="I161" s="685" t="e">
        <f>IF(G161&lt;=#REF!,0,Apoio!#REF!)</f>
        <v>#REF!</v>
      </c>
      <c r="J161" s="688"/>
      <c r="K161" s="686"/>
      <c r="L161" s="636" t="e">
        <f>VLOOKUP(G161,$AB$253:$AC$336,2,FALSE)+VLOOKUP(G161,#REF!,2,FALSE)+VLOOKUP(G161,$AD$253:$AD$369,2,FALSE)+VLOOKUP(G161,$AE$253:$AF$369,2,FALSE)+VLOOKUP(G161,$AG$253:$AH$369,2,FALSE)+VLOOKUP(G161,$Z$253:$AA$369,2,FALSE)</f>
        <v>#N/A</v>
      </c>
      <c r="M161" s="685" t="e">
        <f t="shared" si="1"/>
        <v>#N/A</v>
      </c>
      <c r="N161" s="686"/>
      <c r="O161" s="690"/>
      <c r="P161" s="691"/>
      <c r="Q161" s="685" t="e">
        <f>VLOOKUP(G161,$AB$253:$AC$336,2,FALSE)+VLOOKUP(G161,#REF!,2,FALSE)+VLOOKUP(G161,$AD$253:$AD$369,2,FALSE)+VLOOKUP(G161,$Z$253:$AA$369,2,FALSE)+IF(G161&lt;=#REF!,I161)</f>
        <v>#N/A</v>
      </c>
      <c r="R161" s="686"/>
      <c r="CC161" s="384"/>
    </row>
    <row r="162" spans="7:81" ht="15" hidden="1" customHeight="1" x14ac:dyDescent="0.2">
      <c r="G162" s="465">
        <v>7</v>
      </c>
      <c r="H162" s="480" t="e">
        <f t="shared" si="2"/>
        <v>#REF!</v>
      </c>
      <c r="I162" s="685" t="e">
        <f>IF(G162&lt;=#REF!,0,Apoio!#REF!)</f>
        <v>#REF!</v>
      </c>
      <c r="J162" s="688"/>
      <c r="K162" s="686"/>
      <c r="L162" s="636" t="e">
        <f>VLOOKUP(G162,$AB$253:$AC$336,2,FALSE)+VLOOKUP(G162,#REF!,2,FALSE)+VLOOKUP(G162,$AD$253:$AD$369,2,FALSE)+VLOOKUP(G162,$AE$253:$AF$369,2,FALSE)+VLOOKUP(G162,$AG$253:$AH$369,2,FALSE)+VLOOKUP(G162,$Z$253:$AA$369,2,FALSE)</f>
        <v>#N/A</v>
      </c>
      <c r="M162" s="685" t="e">
        <f t="shared" si="1"/>
        <v>#N/A</v>
      </c>
      <c r="N162" s="686"/>
      <c r="O162" s="690"/>
      <c r="P162" s="691"/>
      <c r="Q162" s="685" t="e">
        <f>VLOOKUP(G162,$AB$253:$AC$336,2,FALSE)+VLOOKUP(G162,#REF!,2,FALSE)+VLOOKUP(G162,$AD$253:$AD$369,2,FALSE)+VLOOKUP(G162,$Z$253:$AA$369,2,FALSE)+IF(G162&lt;=#REF!,I162)</f>
        <v>#N/A</v>
      </c>
      <c r="R162" s="686"/>
      <c r="CC162" s="384"/>
    </row>
    <row r="163" spans="7:81" ht="15" hidden="1" customHeight="1" x14ac:dyDescent="0.2">
      <c r="G163" s="465">
        <v>8</v>
      </c>
      <c r="H163" s="480" t="e">
        <f t="shared" si="2"/>
        <v>#REF!</v>
      </c>
      <c r="I163" s="685" t="e">
        <f>IF(G163&lt;=#REF!,0,Apoio!#REF!)</f>
        <v>#REF!</v>
      </c>
      <c r="J163" s="688"/>
      <c r="K163" s="686"/>
      <c r="L163" s="636" t="e">
        <f>VLOOKUP(G163,$AB$253:$AC$336,2,FALSE)+VLOOKUP(G163,#REF!,2,FALSE)+VLOOKUP(G163,$AD$253:$AD$369,2,FALSE)+VLOOKUP(G163,$AE$253:$AF$369,2,FALSE)+VLOOKUP(G163,$AG$253:$AH$369,2,FALSE)+VLOOKUP(G163,$Z$253:$AA$369,2,FALSE)</f>
        <v>#N/A</v>
      </c>
      <c r="M163" s="685" t="e">
        <f t="shared" si="1"/>
        <v>#N/A</v>
      </c>
      <c r="N163" s="686"/>
      <c r="O163" s="690"/>
      <c r="P163" s="691"/>
      <c r="Q163" s="685" t="e">
        <f>VLOOKUP(G163,$AB$253:$AC$336,2,FALSE)+VLOOKUP(G163,#REF!,2,FALSE)+VLOOKUP(G163,$AD$253:$AD$369,2,FALSE)+VLOOKUP(G163,$Z$253:$AA$369,2,FALSE)+IF(G163&lt;=#REF!,I163)</f>
        <v>#N/A</v>
      </c>
      <c r="R163" s="686"/>
      <c r="CC163" s="384"/>
    </row>
    <row r="164" spans="7:81" ht="15" hidden="1" customHeight="1" x14ac:dyDescent="0.2">
      <c r="G164" s="465">
        <v>9</v>
      </c>
      <c r="H164" s="480" t="e">
        <f t="shared" si="2"/>
        <v>#REF!</v>
      </c>
      <c r="I164" s="685" t="e">
        <f>IF(G164&lt;=#REF!,0,Apoio!#REF!)</f>
        <v>#REF!</v>
      </c>
      <c r="J164" s="688"/>
      <c r="K164" s="686"/>
      <c r="L164" s="636" t="e">
        <f>VLOOKUP(G164,$AB$253:$AC$336,2,FALSE)+VLOOKUP(G164,#REF!,2,FALSE)+VLOOKUP(G164,$AD$253:$AD$369,2,FALSE)+VLOOKUP(G164,$AE$253:$AF$369,2,FALSE)+VLOOKUP(G164,$AG$253:$AH$369,2,FALSE)+VLOOKUP(G164,$Z$253:$AA$369,2,FALSE)</f>
        <v>#N/A</v>
      </c>
      <c r="M164" s="685" t="e">
        <f t="shared" si="1"/>
        <v>#N/A</v>
      </c>
      <c r="N164" s="686"/>
      <c r="O164" s="690"/>
      <c r="P164" s="691"/>
      <c r="Q164" s="685" t="e">
        <f>VLOOKUP(G164,$AB$253:$AC$336,2,FALSE)+VLOOKUP(G164,#REF!,2,FALSE)+VLOOKUP(G164,$AD$253:$AD$369,2,FALSE)+VLOOKUP(G164,$Z$253:$AA$369,2,FALSE)+IF(G164&lt;=#REF!,I164)</f>
        <v>#N/A</v>
      </c>
      <c r="R164" s="686"/>
      <c r="CC164" s="384"/>
    </row>
    <row r="165" spans="7:81" ht="15" hidden="1" customHeight="1" x14ac:dyDescent="0.2">
      <c r="G165" s="465">
        <v>10</v>
      </c>
      <c r="H165" s="480" t="e">
        <f t="shared" si="2"/>
        <v>#REF!</v>
      </c>
      <c r="I165" s="685" t="e">
        <f>IF(G165&lt;=#REF!,0,Apoio!#REF!)</f>
        <v>#REF!</v>
      </c>
      <c r="J165" s="688"/>
      <c r="K165" s="686"/>
      <c r="L165" s="636" t="e">
        <f>VLOOKUP(G165,$AB$253:$AC$336,2,FALSE)+VLOOKUP(G165,#REF!,2,FALSE)+VLOOKUP(G165,$AD$253:$AD$369,2,FALSE)+VLOOKUP(G165,$AE$253:$AF$369,2,FALSE)+VLOOKUP(G165,$AG$253:$AH$369,2,FALSE)+VLOOKUP(G165,$Z$253:$AA$369,2,FALSE)</f>
        <v>#N/A</v>
      </c>
      <c r="M165" s="685" t="e">
        <f t="shared" si="1"/>
        <v>#N/A</v>
      </c>
      <c r="N165" s="686"/>
      <c r="O165" s="690"/>
      <c r="P165" s="691"/>
      <c r="Q165" s="685" t="e">
        <f>VLOOKUP(G165,$AB$253:$AC$336,2,FALSE)+VLOOKUP(G165,#REF!,2,FALSE)+VLOOKUP(G165,$AD$253:$AD$369,2,FALSE)+VLOOKUP(G165,$Z$253:$AA$369,2,FALSE)+IF(G165&lt;=#REF!,I165)</f>
        <v>#N/A</v>
      </c>
      <c r="R165" s="686"/>
      <c r="CC165" s="384"/>
    </row>
    <row r="166" spans="7:81" ht="15" hidden="1" customHeight="1" x14ac:dyDescent="0.2">
      <c r="G166" s="465">
        <v>11</v>
      </c>
      <c r="H166" s="480" t="e">
        <f t="shared" si="2"/>
        <v>#REF!</v>
      </c>
      <c r="I166" s="685" t="e">
        <f>IF(G166&lt;=#REF!,0,Apoio!#REF!)</f>
        <v>#REF!</v>
      </c>
      <c r="J166" s="688"/>
      <c r="K166" s="686"/>
      <c r="L166" s="636" t="e">
        <f>VLOOKUP(G166,$AB$253:$AC$336,2,FALSE)+VLOOKUP(G166,#REF!,2,FALSE)+VLOOKUP(G166,$AD$253:$AD$369,2,FALSE)+VLOOKUP(G166,$AE$253:$AF$369,2,FALSE)+VLOOKUP(G166,$AG$253:$AH$369,2,FALSE)+VLOOKUP(G166,$Z$253:$AA$369,2,FALSE)</f>
        <v>#N/A</v>
      </c>
      <c r="M166" s="685" t="e">
        <f t="shared" si="1"/>
        <v>#N/A</v>
      </c>
      <c r="N166" s="686"/>
      <c r="O166" s="690"/>
      <c r="P166" s="691"/>
      <c r="Q166" s="685" t="e">
        <f>VLOOKUP(G166,$AB$253:$AC$336,2,FALSE)+VLOOKUP(G166,#REF!,2,FALSE)+VLOOKUP(G166,$AD$253:$AD$369,2,FALSE)+VLOOKUP(G166,$Z$253:$AA$369,2,FALSE)+IF(G166&lt;=#REF!,I166)</f>
        <v>#N/A</v>
      </c>
      <c r="R166" s="686"/>
      <c r="CC166" s="384"/>
    </row>
    <row r="167" spans="7:81" ht="15" hidden="1" customHeight="1" x14ac:dyDescent="0.2">
      <c r="G167" s="465">
        <v>12</v>
      </c>
      <c r="H167" s="480" t="e">
        <f t="shared" si="2"/>
        <v>#REF!</v>
      </c>
      <c r="I167" s="685" t="e">
        <f>IF(G167&lt;=#REF!,0,Apoio!#REF!)</f>
        <v>#REF!</v>
      </c>
      <c r="J167" s="688"/>
      <c r="K167" s="686"/>
      <c r="L167" s="636" t="e">
        <f>VLOOKUP(G167,$AB$253:$AC$336,2,FALSE)+VLOOKUP(G167,#REF!,2,FALSE)+VLOOKUP(G167,$AD$253:$AD$369,2,FALSE)+VLOOKUP(G167,$AE$253:$AF$369,2,FALSE)+VLOOKUP(G167,$AG$253:$AH$369,2,FALSE)+VLOOKUP(G167,$Z$253:$AA$369,2,FALSE)</f>
        <v>#N/A</v>
      </c>
      <c r="M167" s="685" t="e">
        <f t="shared" si="1"/>
        <v>#N/A</v>
      </c>
      <c r="N167" s="686"/>
      <c r="O167" s="690"/>
      <c r="P167" s="691"/>
      <c r="Q167" s="685" t="e">
        <f>VLOOKUP(G167,$AB$253:$AC$336,2,FALSE)+VLOOKUP(G167,#REF!,2,FALSE)+VLOOKUP(G167,$AD$253:$AD$369,2,FALSE)+VLOOKUP(G167,$Z$253:$AA$369,2,FALSE)+IF(G167&lt;=#REF!,I167)</f>
        <v>#N/A</v>
      </c>
      <c r="R167" s="686"/>
      <c r="CC167" s="384"/>
    </row>
    <row r="168" spans="7:81" ht="15" hidden="1" customHeight="1" x14ac:dyDescent="0.2">
      <c r="G168" s="465">
        <v>13</v>
      </c>
      <c r="H168" s="480" t="e">
        <f t="shared" si="2"/>
        <v>#REF!</v>
      </c>
      <c r="I168" s="685" t="e">
        <f>IF(G168&lt;=#REF!,0,Apoio!#REF!)</f>
        <v>#REF!</v>
      </c>
      <c r="J168" s="688"/>
      <c r="K168" s="686"/>
      <c r="L168" s="636" t="e">
        <f>VLOOKUP(G168,$AB$253:$AC$336,2,FALSE)+VLOOKUP(G168,#REF!,2,FALSE)+VLOOKUP(G168,$AD$253:$AD$369,2,FALSE)+VLOOKUP(G168,$AE$253:$AF$369,2,FALSE)+VLOOKUP(G168,$AG$253:$AH$369,2,FALSE)+VLOOKUP(G168,$Z$253:$AA$369,2,FALSE)</f>
        <v>#N/A</v>
      </c>
      <c r="M168" s="685" t="e">
        <f t="shared" si="1"/>
        <v>#N/A</v>
      </c>
      <c r="N168" s="686"/>
      <c r="O168" s="690"/>
      <c r="P168" s="691"/>
      <c r="Q168" s="685" t="e">
        <f>VLOOKUP(G168,$AB$253:$AC$336,2,FALSE)+VLOOKUP(G168,#REF!,2,FALSE)+VLOOKUP(G168,$AD$253:$AD$369,2,FALSE)+VLOOKUP(G168,$Z$253:$AA$369,2,FALSE)+IF(G168&lt;=#REF!,I168)</f>
        <v>#N/A</v>
      </c>
      <c r="R168" s="686"/>
      <c r="CC168" s="384"/>
    </row>
    <row r="169" spans="7:81" ht="15" hidden="1" customHeight="1" x14ac:dyDescent="0.2">
      <c r="G169" s="465">
        <v>14</v>
      </c>
      <c r="H169" s="480" t="e">
        <f t="shared" si="2"/>
        <v>#REF!</v>
      </c>
      <c r="I169" s="685" t="e">
        <f>IF(G169&lt;=#REF!,0,Apoio!#REF!)</f>
        <v>#REF!</v>
      </c>
      <c r="J169" s="688"/>
      <c r="K169" s="686"/>
      <c r="L169" s="636" t="e">
        <f>VLOOKUP(G169,$AB$253:$AC$336,2,FALSE)+VLOOKUP(G169,#REF!,2,FALSE)+VLOOKUP(G169,$AD$253:$AD$369,2,FALSE)+VLOOKUP(G169,$AE$253:$AF$369,2,FALSE)+VLOOKUP(G169,$AG$253:$AH$369,2,FALSE)+VLOOKUP(G169,$Z$253:$AA$369,2,FALSE)</f>
        <v>#N/A</v>
      </c>
      <c r="M169" s="685" t="e">
        <f t="shared" si="1"/>
        <v>#N/A</v>
      </c>
      <c r="N169" s="686"/>
      <c r="O169" s="690"/>
      <c r="P169" s="691"/>
      <c r="Q169" s="685" t="e">
        <f>VLOOKUP(G169,$AB$253:$AC$336,2,FALSE)+VLOOKUP(G169,#REF!,2,FALSE)+VLOOKUP(G169,$AD$253:$AD$369,2,FALSE)+VLOOKUP(G169,$Z$253:$AA$369,2,FALSE)+IF(G169&lt;=#REF!,I169)</f>
        <v>#N/A</v>
      </c>
      <c r="R169" s="686"/>
      <c r="CC169" s="384"/>
    </row>
    <row r="170" spans="7:81" ht="15" hidden="1" customHeight="1" x14ac:dyDescent="0.2">
      <c r="G170" s="465">
        <v>15</v>
      </c>
      <c r="H170" s="480" t="e">
        <f t="shared" si="2"/>
        <v>#REF!</v>
      </c>
      <c r="I170" s="685" t="e">
        <f>IF(G170&lt;=#REF!,0,Apoio!#REF!)</f>
        <v>#REF!</v>
      </c>
      <c r="J170" s="688"/>
      <c r="K170" s="686"/>
      <c r="L170" s="636" t="e">
        <f>VLOOKUP(G170,$AB$253:$AC$336,2,FALSE)+VLOOKUP(G170,#REF!,2,FALSE)+VLOOKUP(G170,$AD$253:$AD$369,2,FALSE)+VLOOKUP(G170,$AE$253:$AF$369,2,FALSE)+VLOOKUP(G170,$AG$253:$AH$369,2,FALSE)+VLOOKUP(G170,$Z$253:$AA$369,2,FALSE)</f>
        <v>#N/A</v>
      </c>
      <c r="M170" s="685" t="e">
        <f t="shared" si="1"/>
        <v>#N/A</v>
      </c>
      <c r="N170" s="686"/>
      <c r="O170" s="690"/>
      <c r="P170" s="691"/>
      <c r="Q170" s="685" t="e">
        <f>VLOOKUP(G170,$AB$253:$AC$336,2,FALSE)+VLOOKUP(G170,#REF!,2,FALSE)+VLOOKUP(G170,$AD$253:$AD$369,2,FALSE)+VLOOKUP(G170,$Z$253:$AA$369,2,FALSE)+IF(G170&lt;=#REF!,I170)</f>
        <v>#N/A</v>
      </c>
      <c r="R170" s="686"/>
      <c r="CC170" s="384"/>
    </row>
    <row r="171" spans="7:81" ht="15" hidden="1" customHeight="1" x14ac:dyDescent="0.2">
      <c r="G171" s="465">
        <v>16</v>
      </c>
      <c r="H171" s="480" t="e">
        <f t="shared" si="2"/>
        <v>#REF!</v>
      </c>
      <c r="I171" s="685" t="e">
        <f>IF(G171&lt;=#REF!,0,Apoio!#REF!)</f>
        <v>#REF!</v>
      </c>
      <c r="J171" s="688"/>
      <c r="K171" s="686"/>
      <c r="L171" s="636" t="e">
        <f>VLOOKUP(G171,$AB$253:$AC$336,2,FALSE)+VLOOKUP(G171,#REF!,2,FALSE)+VLOOKUP(G171,$AD$253:$AD$369,2,FALSE)+VLOOKUP(G171,$AE$253:$AF$369,2,FALSE)+VLOOKUP(G171,$AG$253:$AH$369,2,FALSE)+VLOOKUP(G171,$Z$253:$AA$369,2,FALSE)</f>
        <v>#N/A</v>
      </c>
      <c r="M171" s="685" t="e">
        <f t="shared" si="1"/>
        <v>#N/A</v>
      </c>
      <c r="N171" s="686"/>
      <c r="O171" s="690"/>
      <c r="P171" s="691"/>
      <c r="Q171" s="685" t="e">
        <f>VLOOKUP(G171,$AB$253:$AC$336,2,FALSE)+VLOOKUP(G171,#REF!,2,FALSE)+VLOOKUP(G171,$AD$253:$AD$369,2,FALSE)+VLOOKUP(G171,$Z$253:$AA$369,2,FALSE)+IF(G171&lt;=#REF!,I171)</f>
        <v>#N/A</v>
      </c>
      <c r="R171" s="686"/>
      <c r="CC171" s="384"/>
    </row>
    <row r="172" spans="7:81" ht="15" hidden="1" customHeight="1" x14ac:dyDescent="0.2">
      <c r="G172" s="465">
        <v>17</v>
      </c>
      <c r="H172" s="480" t="e">
        <f t="shared" si="2"/>
        <v>#REF!</v>
      </c>
      <c r="I172" s="685" t="e">
        <f>IF(G172&lt;=#REF!,0,Apoio!#REF!)</f>
        <v>#REF!</v>
      </c>
      <c r="J172" s="688"/>
      <c r="K172" s="686"/>
      <c r="L172" s="636" t="e">
        <f>VLOOKUP(G172,$AB$253:$AC$336,2,FALSE)+VLOOKUP(G172,#REF!,2,FALSE)+VLOOKUP(G172,$AD$253:$AD$369,2,FALSE)+VLOOKUP(G172,$AE$253:$AF$369,2,FALSE)+VLOOKUP(G172,$AG$253:$AH$369,2,FALSE)+VLOOKUP(G172,$Z$253:$AA$369,2,FALSE)</f>
        <v>#N/A</v>
      </c>
      <c r="M172" s="685" t="e">
        <f t="shared" si="1"/>
        <v>#N/A</v>
      </c>
      <c r="N172" s="686"/>
      <c r="O172" s="690"/>
      <c r="P172" s="691"/>
      <c r="Q172" s="685" t="e">
        <f>VLOOKUP(G172,$AB$253:$AC$336,2,FALSE)+VLOOKUP(G172,#REF!,2,FALSE)+VLOOKUP(G172,$AD$253:$AD$369,2,FALSE)+VLOOKUP(G172,$Z$253:$AA$369,2,FALSE)+IF(G172&lt;=#REF!,I172)</f>
        <v>#N/A</v>
      </c>
      <c r="R172" s="686"/>
      <c r="CC172" s="384"/>
    </row>
    <row r="173" spans="7:81" ht="15" hidden="1" customHeight="1" x14ac:dyDescent="0.2">
      <c r="G173" s="465">
        <v>18</v>
      </c>
      <c r="H173" s="480" t="e">
        <f t="shared" si="2"/>
        <v>#REF!</v>
      </c>
      <c r="I173" s="685" t="e">
        <f>IF(G173&lt;=#REF!,0,Apoio!#REF!)</f>
        <v>#REF!</v>
      </c>
      <c r="J173" s="688"/>
      <c r="K173" s="686"/>
      <c r="L173" s="636" t="e">
        <f>VLOOKUP(G173,$AB$253:$AC$336,2,FALSE)+VLOOKUP(G173,#REF!,2,FALSE)+VLOOKUP(G173,$AD$253:$AD$369,2,FALSE)+VLOOKUP(G173,$AE$253:$AF$369,2,FALSE)+VLOOKUP(G173,$AG$253:$AH$369,2,FALSE)+VLOOKUP(G173,$Z$253:$AA$369,2,FALSE)</f>
        <v>#N/A</v>
      </c>
      <c r="M173" s="685" t="e">
        <f t="shared" si="1"/>
        <v>#N/A</v>
      </c>
      <c r="N173" s="686"/>
      <c r="O173" s="690"/>
      <c r="P173" s="691"/>
      <c r="Q173" s="685" t="e">
        <f>VLOOKUP(G173,$AB$253:$AC$336,2,FALSE)+VLOOKUP(G173,#REF!,2,FALSE)+VLOOKUP(G173,$AD$253:$AD$369,2,FALSE)+VLOOKUP(G173,$Z$253:$AA$369,2,FALSE)+IF(G173&lt;=#REF!,I173)</f>
        <v>#N/A</v>
      </c>
      <c r="R173" s="686"/>
      <c r="CC173" s="384"/>
    </row>
    <row r="174" spans="7:81" ht="15" hidden="1" customHeight="1" x14ac:dyDescent="0.2">
      <c r="G174" s="465">
        <v>19</v>
      </c>
      <c r="H174" s="480" t="e">
        <f t="shared" si="2"/>
        <v>#REF!</v>
      </c>
      <c r="I174" s="685" t="e">
        <f>IF(G174&lt;=#REF!,0,Apoio!#REF!)</f>
        <v>#REF!</v>
      </c>
      <c r="J174" s="688"/>
      <c r="K174" s="686"/>
      <c r="L174" s="636" t="e">
        <f>VLOOKUP(G174,$AB$253:$AC$336,2,FALSE)+VLOOKUP(G174,#REF!,2,FALSE)+VLOOKUP(G174,$AD$253:$AD$369,2,FALSE)+VLOOKUP(G174,$AE$253:$AF$369,2,FALSE)+VLOOKUP(G174,$AG$253:$AH$369,2,FALSE)+VLOOKUP(G174,$Z$253:$AA$369,2,FALSE)</f>
        <v>#N/A</v>
      </c>
      <c r="M174" s="685" t="e">
        <f t="shared" si="1"/>
        <v>#N/A</v>
      </c>
      <c r="N174" s="686"/>
      <c r="O174" s="690"/>
      <c r="P174" s="691"/>
      <c r="Q174" s="685" t="e">
        <f>VLOOKUP(G174,$AB$253:$AC$336,2,FALSE)+VLOOKUP(G174,#REF!,2,FALSE)+VLOOKUP(G174,$AD$253:$AD$369,2,FALSE)+VLOOKUP(G174,$Z$253:$AA$369,2,FALSE)+IF(G174&lt;=#REF!,I174)</f>
        <v>#N/A</v>
      </c>
      <c r="R174" s="686"/>
      <c r="CC174" s="384"/>
    </row>
    <row r="175" spans="7:81" ht="15" hidden="1" customHeight="1" x14ac:dyDescent="0.2">
      <c r="G175" s="465">
        <v>20</v>
      </c>
      <c r="H175" s="480" t="e">
        <f t="shared" si="2"/>
        <v>#REF!</v>
      </c>
      <c r="I175" s="685" t="e">
        <f>IF(G175&lt;=#REF!,0,Apoio!#REF!)</f>
        <v>#REF!</v>
      </c>
      <c r="J175" s="688"/>
      <c r="K175" s="686"/>
      <c r="L175" s="636" t="e">
        <f>VLOOKUP(G175,$AB$253:$AC$336,2,FALSE)+VLOOKUP(G175,#REF!,2,FALSE)+VLOOKUP(G175,$AD$253:$AD$369,2,FALSE)+VLOOKUP(G175,$AE$253:$AF$369,2,FALSE)+VLOOKUP(G175,$AG$253:$AH$369,2,FALSE)+VLOOKUP(G175,$Z$253:$AA$369,2,FALSE)</f>
        <v>#N/A</v>
      </c>
      <c r="M175" s="685" t="e">
        <f t="shared" si="1"/>
        <v>#N/A</v>
      </c>
      <c r="N175" s="686"/>
      <c r="O175" s="690"/>
      <c r="P175" s="691"/>
      <c r="Q175" s="685" t="e">
        <f>VLOOKUP(G175,$AB$253:$AC$336,2,FALSE)+VLOOKUP(G175,#REF!,2,FALSE)+VLOOKUP(G175,$AD$253:$AD$369,2,FALSE)+VLOOKUP(G175,$Z$253:$AA$369,2,FALSE)+IF(G175&lt;=#REF!,I175)</f>
        <v>#N/A</v>
      </c>
      <c r="R175" s="686"/>
      <c r="CC175" s="384"/>
    </row>
    <row r="176" spans="7:81" ht="15" hidden="1" customHeight="1" x14ac:dyDescent="0.2">
      <c r="G176" s="465">
        <v>21</v>
      </c>
      <c r="H176" s="480" t="e">
        <f t="shared" si="2"/>
        <v>#REF!</v>
      </c>
      <c r="I176" s="685" t="e">
        <f>IF(G176&lt;=#REF!,0,Apoio!#REF!)</f>
        <v>#REF!</v>
      </c>
      <c r="J176" s="688"/>
      <c r="K176" s="686"/>
      <c r="L176" s="636" t="e">
        <f>VLOOKUP(G176,$AB$253:$AC$336,2,FALSE)+VLOOKUP(G176,#REF!,2,FALSE)+VLOOKUP(G176,$AD$253:$AD$369,2,FALSE)+VLOOKUP(G176,$AE$253:$AF$369,2,FALSE)+VLOOKUP(G176,$AG$253:$AH$369,2,FALSE)+VLOOKUP(G176,$Z$253:$AA$369,2,FALSE)</f>
        <v>#N/A</v>
      </c>
      <c r="M176" s="685" t="e">
        <f t="shared" si="1"/>
        <v>#N/A</v>
      </c>
      <c r="N176" s="686"/>
      <c r="O176" s="690"/>
      <c r="P176" s="691"/>
      <c r="Q176" s="685" t="e">
        <f>VLOOKUP(G176,$AB$253:$AC$336,2,FALSE)+VLOOKUP(G176,#REF!,2,FALSE)+VLOOKUP(G176,$AD$253:$AD$369,2,FALSE)+VLOOKUP(G176,$Z$253:$AA$369,2,FALSE)+IF(G176&lt;=#REF!,I176)</f>
        <v>#N/A</v>
      </c>
      <c r="R176" s="686"/>
      <c r="CC176" s="384"/>
    </row>
    <row r="177" spans="7:81" ht="15" hidden="1" customHeight="1" x14ac:dyDescent="0.2">
      <c r="G177" s="465">
        <v>22</v>
      </c>
      <c r="H177" s="480" t="e">
        <f t="shared" si="2"/>
        <v>#REF!</v>
      </c>
      <c r="I177" s="685" t="e">
        <f>IF(G177&lt;=#REF!,0,Apoio!#REF!)</f>
        <v>#REF!</v>
      </c>
      <c r="J177" s="688"/>
      <c r="K177" s="686"/>
      <c r="L177" s="636" t="e">
        <f>VLOOKUP(G177,$AB$253:$AC$336,2,FALSE)+VLOOKUP(G177,#REF!,2,FALSE)+VLOOKUP(G177,$AD$253:$AD$369,2,FALSE)+VLOOKUP(G177,$AE$253:$AF$369,2,FALSE)+VLOOKUP(G177,$AG$253:$AH$369,2,FALSE)+VLOOKUP(G177,$Z$253:$AA$369,2,FALSE)</f>
        <v>#N/A</v>
      </c>
      <c r="M177" s="685" t="e">
        <f t="shared" si="1"/>
        <v>#N/A</v>
      </c>
      <c r="N177" s="686"/>
      <c r="O177" s="690"/>
      <c r="P177" s="691"/>
      <c r="Q177" s="685" t="e">
        <f>VLOOKUP(G177,$AB$253:$AC$336,2,FALSE)+VLOOKUP(G177,#REF!,2,FALSE)+VLOOKUP(G177,$AD$253:$AD$369,2,FALSE)+VLOOKUP(G177,$Z$253:$AA$369,2,FALSE)+IF(G177&lt;=#REF!,I177)</f>
        <v>#N/A</v>
      </c>
      <c r="R177" s="686"/>
      <c r="CC177" s="384"/>
    </row>
    <row r="178" spans="7:81" ht="15" hidden="1" customHeight="1" x14ac:dyDescent="0.2">
      <c r="G178" s="465">
        <v>23</v>
      </c>
      <c r="H178" s="480" t="e">
        <f t="shared" si="2"/>
        <v>#REF!</v>
      </c>
      <c r="I178" s="685" t="e">
        <f>IF(G178&lt;=#REF!,0,Apoio!#REF!)</f>
        <v>#REF!</v>
      </c>
      <c r="J178" s="688"/>
      <c r="K178" s="686"/>
      <c r="L178" s="636" t="e">
        <f>VLOOKUP(G178,$AB$253:$AC$336,2,FALSE)+VLOOKUP(G178,#REF!,2,FALSE)+VLOOKUP(G178,$AD$253:$AD$369,2,FALSE)+VLOOKUP(G178,$AE$253:$AF$369,2,FALSE)+VLOOKUP(G178,$AG$253:$AH$369,2,FALSE)+VLOOKUP(G178,$Z$253:$AA$369,2,FALSE)</f>
        <v>#N/A</v>
      </c>
      <c r="M178" s="685" t="e">
        <f t="shared" si="1"/>
        <v>#N/A</v>
      </c>
      <c r="N178" s="686"/>
      <c r="O178" s="690"/>
      <c r="P178" s="691"/>
      <c r="Q178" s="685" t="e">
        <f>VLOOKUP(G178,$AB$253:$AC$336,2,FALSE)+VLOOKUP(G178,#REF!,2,FALSE)+VLOOKUP(G178,$AD$253:$AD$369,2,FALSE)+VLOOKUP(G178,$Z$253:$AA$369,2,FALSE)+IF(G178&lt;=#REF!,I178)</f>
        <v>#N/A</v>
      </c>
      <c r="R178" s="686"/>
      <c r="CC178" s="384"/>
    </row>
    <row r="179" spans="7:81" ht="15" hidden="1" customHeight="1" x14ac:dyDescent="0.2">
      <c r="G179" s="465">
        <v>24</v>
      </c>
      <c r="H179" s="480" t="e">
        <f t="shared" si="2"/>
        <v>#REF!</v>
      </c>
      <c r="I179" s="685" t="e">
        <f>IF(G179&lt;=#REF!,0,Apoio!#REF!)</f>
        <v>#REF!</v>
      </c>
      <c r="J179" s="688"/>
      <c r="K179" s="686"/>
      <c r="L179" s="636" t="e">
        <f>VLOOKUP(G179,$AB$253:$AC$336,2,FALSE)+VLOOKUP(G179,#REF!,2,FALSE)+VLOOKUP(G179,$AD$253:$AD$369,2,FALSE)+VLOOKUP(G179,$AE$253:$AF$369,2,FALSE)+VLOOKUP(G179,$AG$253:$AH$369,2,FALSE)+VLOOKUP(G179,$Z$253:$AA$369,2,FALSE)</f>
        <v>#N/A</v>
      </c>
      <c r="M179" s="685" t="e">
        <f t="shared" si="1"/>
        <v>#N/A</v>
      </c>
      <c r="N179" s="686"/>
      <c r="O179" s="690"/>
      <c r="P179" s="691"/>
      <c r="Q179" s="685" t="e">
        <f>VLOOKUP(G179,$AB$253:$AC$336,2,FALSE)+VLOOKUP(G179,#REF!,2,FALSE)+VLOOKUP(G179,$AD$253:$AD$369,2,FALSE)+VLOOKUP(G179,$Z$253:$AA$369,2,FALSE)+IF(G179&lt;=#REF!,I179)</f>
        <v>#N/A</v>
      </c>
      <c r="R179" s="686"/>
      <c r="CC179" s="384"/>
    </row>
    <row r="180" spans="7:81" ht="15" hidden="1" customHeight="1" x14ac:dyDescent="0.2">
      <c r="G180" s="465">
        <v>25</v>
      </c>
      <c r="H180" s="480" t="e">
        <f t="shared" si="2"/>
        <v>#REF!</v>
      </c>
      <c r="I180" s="685" t="e">
        <f>IF(G180&lt;=#REF!,0,Apoio!#REF!)</f>
        <v>#REF!</v>
      </c>
      <c r="J180" s="688"/>
      <c r="K180" s="686"/>
      <c r="L180" s="636" t="e">
        <f>VLOOKUP(G180,$AB$253:$AC$336,2,FALSE)+VLOOKUP(G180,#REF!,2,FALSE)+VLOOKUP(G180,$AD$253:$AD$369,2,FALSE)+VLOOKUP(G180,$AE$253:$AF$369,2,FALSE)+VLOOKUP(G180,$AG$253:$AH$369,2,FALSE)+VLOOKUP(G180,$Z$253:$AA$369,2,FALSE)</f>
        <v>#N/A</v>
      </c>
      <c r="M180" s="685" t="e">
        <f t="shared" si="1"/>
        <v>#N/A</v>
      </c>
      <c r="N180" s="686"/>
      <c r="O180" s="690"/>
      <c r="P180" s="691"/>
      <c r="Q180" s="685" t="e">
        <f>VLOOKUP(G180,$AB$253:$AC$336,2,FALSE)+VLOOKUP(G180,#REF!,2,FALSE)+VLOOKUP(G180,$AD$253:$AD$369,2,FALSE)+VLOOKUP(G180,$Z$253:$AA$369,2,FALSE)+IF(G180&lt;=#REF!,I180)</f>
        <v>#N/A</v>
      </c>
      <c r="R180" s="686"/>
      <c r="CC180" s="384"/>
    </row>
    <row r="181" spans="7:81" ht="15" hidden="1" customHeight="1" x14ac:dyDescent="0.2">
      <c r="G181" s="465">
        <v>26</v>
      </c>
      <c r="H181" s="480" t="e">
        <f t="shared" si="2"/>
        <v>#REF!</v>
      </c>
      <c r="I181" s="685" t="e">
        <f>IF(G181&lt;=#REF!,0,Apoio!#REF!)</f>
        <v>#REF!</v>
      </c>
      <c r="J181" s="688"/>
      <c r="K181" s="686"/>
      <c r="L181" s="636" t="e">
        <f>VLOOKUP(G181,$AB$253:$AC$336,2,FALSE)+VLOOKUP(G181,#REF!,2,FALSE)+VLOOKUP(G181,$AD$253:$AD$369,2,FALSE)+VLOOKUP(G181,$AE$253:$AF$369,2,FALSE)+VLOOKUP(G181,$AG$253:$AH$369,2,FALSE)+VLOOKUP(G181,$Z$253:$AA$369,2,FALSE)</f>
        <v>#N/A</v>
      </c>
      <c r="M181" s="685" t="e">
        <f t="shared" si="1"/>
        <v>#N/A</v>
      </c>
      <c r="N181" s="686"/>
      <c r="O181" s="690"/>
      <c r="P181" s="691"/>
      <c r="Q181" s="685" t="e">
        <f>VLOOKUP(G181,$AB$253:$AC$336,2,FALSE)+VLOOKUP(G181,#REF!,2,FALSE)+VLOOKUP(G181,$AD$253:$AD$369,2,FALSE)+VLOOKUP(G181,$Z$253:$AA$369,2,FALSE)+IF(G181&lt;=#REF!,I181)</f>
        <v>#N/A</v>
      </c>
      <c r="R181" s="686"/>
      <c r="CC181" s="384"/>
    </row>
    <row r="182" spans="7:81" ht="15" hidden="1" customHeight="1" x14ac:dyDescent="0.2">
      <c r="G182" s="465">
        <v>27</v>
      </c>
      <c r="H182" s="480" t="e">
        <f t="shared" si="2"/>
        <v>#REF!</v>
      </c>
      <c r="I182" s="685" t="e">
        <f>IF(G182&lt;=#REF!,0,Apoio!#REF!)</f>
        <v>#REF!</v>
      </c>
      <c r="J182" s="688"/>
      <c r="K182" s="686"/>
      <c r="L182" s="636" t="e">
        <f>VLOOKUP(G182,$AB$253:$AC$336,2,FALSE)+VLOOKUP(G182,#REF!,2,FALSE)+VLOOKUP(G182,$AD$253:$AD$369,2,FALSE)+VLOOKUP(G182,$AE$253:$AF$369,2,FALSE)+VLOOKUP(G182,$AG$253:$AH$369,2,FALSE)+VLOOKUP(G182,$Z$253:$AA$369,2,FALSE)</f>
        <v>#N/A</v>
      </c>
      <c r="M182" s="685" t="e">
        <f t="shared" si="1"/>
        <v>#N/A</v>
      </c>
      <c r="N182" s="686"/>
      <c r="O182" s="690"/>
      <c r="P182" s="691"/>
      <c r="Q182" s="685" t="e">
        <f>VLOOKUP(G182,$AB$253:$AC$336,2,FALSE)+VLOOKUP(G182,#REF!,2,FALSE)+VLOOKUP(G182,$AD$253:$AD$369,2,FALSE)+VLOOKUP(G182,$Z$253:$AA$369,2,FALSE)+IF(G182&lt;=#REF!,I182)</f>
        <v>#N/A</v>
      </c>
      <c r="R182" s="686"/>
      <c r="CC182" s="384"/>
    </row>
    <row r="183" spans="7:81" ht="15" hidden="1" customHeight="1" x14ac:dyDescent="0.2">
      <c r="G183" s="465">
        <v>28</v>
      </c>
      <c r="H183" s="480" t="e">
        <f t="shared" si="2"/>
        <v>#REF!</v>
      </c>
      <c r="I183" s="685" t="e">
        <f>IF(G183&lt;=#REF!,0,Apoio!#REF!)</f>
        <v>#REF!</v>
      </c>
      <c r="J183" s="688"/>
      <c r="K183" s="686"/>
      <c r="L183" s="636" t="e">
        <f>VLOOKUP(G183,$AB$253:$AC$336,2,FALSE)+VLOOKUP(G183,#REF!,2,FALSE)+VLOOKUP(G183,$AD$253:$AD$369,2,FALSE)+VLOOKUP(G183,$AE$253:$AF$369,2,FALSE)+VLOOKUP(G183,$AG$253:$AH$369,2,FALSE)+VLOOKUP(G183,$Z$253:$AA$369,2,FALSE)</f>
        <v>#N/A</v>
      </c>
      <c r="M183" s="685" t="e">
        <f t="shared" si="1"/>
        <v>#N/A</v>
      </c>
      <c r="N183" s="686"/>
      <c r="O183" s="690"/>
      <c r="P183" s="691"/>
      <c r="Q183" s="685" t="e">
        <f>VLOOKUP(G183,$AB$253:$AC$336,2,FALSE)+VLOOKUP(G183,#REF!,2,FALSE)+VLOOKUP(G183,$AD$253:$AD$369,2,FALSE)+VLOOKUP(G183,$Z$253:$AA$369,2,FALSE)+IF(G183&lt;=#REF!,I183)</f>
        <v>#N/A</v>
      </c>
      <c r="R183" s="686"/>
      <c r="CC183" s="384"/>
    </row>
    <row r="184" spans="7:81" ht="15" hidden="1" customHeight="1" x14ac:dyDescent="0.2">
      <c r="G184" s="465">
        <v>29</v>
      </c>
      <c r="H184" s="480" t="e">
        <f t="shared" si="2"/>
        <v>#REF!</v>
      </c>
      <c r="I184" s="685" t="e">
        <f>IF(G184&lt;=#REF!,0,Apoio!#REF!)</f>
        <v>#REF!</v>
      </c>
      <c r="J184" s="688"/>
      <c r="K184" s="686"/>
      <c r="L184" s="636" t="e">
        <f>VLOOKUP(G184,$AB$253:$AC$336,2,FALSE)+VLOOKUP(G184,#REF!,2,FALSE)+VLOOKUP(G184,$AD$253:$AD$369,2,FALSE)+VLOOKUP(G184,$AE$253:$AF$369,2,FALSE)+VLOOKUP(G184,$AG$253:$AH$369,2,FALSE)+VLOOKUP(G184,$Z$253:$AA$369,2,FALSE)</f>
        <v>#N/A</v>
      </c>
      <c r="M184" s="685" t="e">
        <f t="shared" si="1"/>
        <v>#N/A</v>
      </c>
      <c r="N184" s="686"/>
      <c r="O184" s="690"/>
      <c r="P184" s="691"/>
      <c r="Q184" s="685" t="e">
        <f>VLOOKUP(G184,$AB$253:$AC$336,2,FALSE)+VLOOKUP(G184,#REF!,2,FALSE)+VLOOKUP(G184,$AD$253:$AD$369,2,FALSE)+VLOOKUP(G184,$Z$253:$AA$369,2,FALSE)+IF(G184&lt;=#REF!,I184)</f>
        <v>#N/A</v>
      </c>
      <c r="R184" s="686"/>
      <c r="CC184" s="384"/>
    </row>
    <row r="185" spans="7:81" ht="15" hidden="1" customHeight="1" x14ac:dyDescent="0.2">
      <c r="G185" s="465">
        <v>30</v>
      </c>
      <c r="H185" s="480" t="e">
        <f t="shared" si="2"/>
        <v>#REF!</v>
      </c>
      <c r="I185" s="685" t="e">
        <f>IF(G185&lt;=#REF!,0,Apoio!#REF!)</f>
        <v>#REF!</v>
      </c>
      <c r="J185" s="688"/>
      <c r="K185" s="686"/>
      <c r="L185" s="636" t="e">
        <f>VLOOKUP(G185,$AB$253:$AC$336,2,FALSE)+VLOOKUP(G185,#REF!,2,FALSE)+VLOOKUP(G185,$AD$253:$AD$369,2,FALSE)+VLOOKUP(G185,$AE$253:$AF$369,2,FALSE)+VLOOKUP(G185,$AG$253:$AH$369,2,FALSE)+VLOOKUP(G185,$Z$253:$AA$369,2,FALSE)</f>
        <v>#N/A</v>
      </c>
      <c r="M185" s="685" t="e">
        <f t="shared" si="1"/>
        <v>#N/A</v>
      </c>
      <c r="N185" s="686"/>
      <c r="O185" s="690"/>
      <c r="P185" s="691"/>
      <c r="Q185" s="685" t="e">
        <f>VLOOKUP(G185,$AB$253:$AC$336,2,FALSE)+VLOOKUP(G185,#REF!,2,FALSE)+VLOOKUP(G185,$AD$253:$AD$369,2,FALSE)+VLOOKUP(G185,$Z$253:$AA$369,2,FALSE)+IF(G185&lt;=#REF!,I185)</f>
        <v>#N/A</v>
      </c>
      <c r="R185" s="686"/>
      <c r="CC185" s="384"/>
    </row>
    <row r="186" spans="7:81" ht="15" hidden="1" customHeight="1" x14ac:dyDescent="0.2">
      <c r="G186" s="465">
        <v>31</v>
      </c>
      <c r="H186" s="480" t="e">
        <f t="shared" si="2"/>
        <v>#REF!</v>
      </c>
      <c r="I186" s="685" t="e">
        <f>IF(G186&lt;=#REF!,0,Apoio!#REF!)</f>
        <v>#REF!</v>
      </c>
      <c r="J186" s="688"/>
      <c r="K186" s="686"/>
      <c r="L186" s="636" t="e">
        <f>VLOOKUP(G186,$AB$253:$AC$336,2,FALSE)+VLOOKUP(G186,#REF!,2,FALSE)+VLOOKUP(G186,$AD$253:$AD$369,2,FALSE)+VLOOKUP(G186,$AE$253:$AF$369,2,FALSE)+VLOOKUP(G186,$AG$253:$AH$369,2,FALSE)+VLOOKUP(G186,$Z$253:$AA$369,2,FALSE)</f>
        <v>#N/A</v>
      </c>
      <c r="M186" s="685" t="e">
        <f t="shared" si="1"/>
        <v>#N/A</v>
      </c>
      <c r="N186" s="686"/>
      <c r="O186" s="690"/>
      <c r="P186" s="691"/>
      <c r="Q186" s="685" t="e">
        <f>VLOOKUP(G186,$AB$253:$AC$336,2,FALSE)+VLOOKUP(G186,#REF!,2,FALSE)+VLOOKUP(G186,$AD$253:$AD$369,2,FALSE)+VLOOKUP(G186,$Z$253:$AA$369,2,FALSE)+IF(G186&lt;=#REF!,I186)</f>
        <v>#N/A</v>
      </c>
      <c r="R186" s="686"/>
      <c r="CC186" s="384"/>
    </row>
    <row r="187" spans="7:81" ht="15" hidden="1" customHeight="1" x14ac:dyDescent="0.2">
      <c r="G187" s="465">
        <v>32</v>
      </c>
      <c r="H187" s="480" t="e">
        <f t="shared" si="2"/>
        <v>#REF!</v>
      </c>
      <c r="I187" s="685" t="e">
        <f>IF(G187&lt;=#REF!,0,Apoio!#REF!)</f>
        <v>#REF!</v>
      </c>
      <c r="J187" s="688"/>
      <c r="K187" s="686"/>
      <c r="L187" s="636" t="e">
        <f>VLOOKUP(G187,$AB$253:$AC$336,2,FALSE)+VLOOKUP(G187,#REF!,2,FALSE)+VLOOKUP(G187,$AD$253:$AD$369,2,FALSE)+VLOOKUP(G187,$AE$253:$AF$369,2,FALSE)+VLOOKUP(G187,$AG$253:$AH$369,2,FALSE)+VLOOKUP(G187,$Z$253:$AA$369,2,FALSE)</f>
        <v>#N/A</v>
      </c>
      <c r="M187" s="685" t="e">
        <f t="shared" si="1"/>
        <v>#N/A</v>
      </c>
      <c r="N187" s="686"/>
      <c r="O187" s="690"/>
      <c r="P187" s="691"/>
      <c r="Q187" s="685" t="e">
        <f>VLOOKUP(G187,$AB$253:$AC$336,2,FALSE)+VLOOKUP(G187,#REF!,2,FALSE)+VLOOKUP(G187,$AD$253:$AD$369,2,FALSE)+VLOOKUP(G187,$Z$253:$AA$369,2,FALSE)+IF(G187&lt;=#REF!,I187)</f>
        <v>#N/A</v>
      </c>
      <c r="R187" s="686"/>
      <c r="CC187" s="384"/>
    </row>
    <row r="188" spans="7:81" ht="15" hidden="1" customHeight="1" x14ac:dyDescent="0.2">
      <c r="G188" s="465">
        <v>33</v>
      </c>
      <c r="H188" s="480" t="e">
        <f t="shared" si="2"/>
        <v>#REF!</v>
      </c>
      <c r="I188" s="685" t="e">
        <f>IF(G188&lt;=#REF!,0,Apoio!#REF!)</f>
        <v>#REF!</v>
      </c>
      <c r="J188" s="688"/>
      <c r="K188" s="686"/>
      <c r="L188" s="636" t="e">
        <f>VLOOKUP(G188,$AB$253:$AC$336,2,FALSE)+VLOOKUP(G188,#REF!,2,FALSE)+VLOOKUP(G188,$AD$253:$AD$369,2,FALSE)+VLOOKUP(G188,$AE$253:$AF$369,2,FALSE)+VLOOKUP(G188,$AG$253:$AH$369,2,FALSE)+VLOOKUP(G188,$Z$253:$AA$369,2,FALSE)</f>
        <v>#N/A</v>
      </c>
      <c r="M188" s="685" t="e">
        <f t="shared" si="1"/>
        <v>#N/A</v>
      </c>
      <c r="N188" s="686"/>
      <c r="O188" s="690"/>
      <c r="P188" s="691"/>
      <c r="Q188" s="685" t="e">
        <f>VLOOKUP(G188,$AB$253:$AC$336,2,FALSE)+VLOOKUP(G188,#REF!,2,FALSE)+VLOOKUP(G188,$AD$253:$AD$369,2,FALSE)+VLOOKUP(G188,$Z$253:$AA$369,2,FALSE)+IF(G188&lt;=#REF!,I188)</f>
        <v>#N/A</v>
      </c>
      <c r="R188" s="686"/>
      <c r="CC188" s="384"/>
    </row>
    <row r="189" spans="7:81" ht="15" hidden="1" customHeight="1" x14ac:dyDescent="0.2">
      <c r="G189" s="465">
        <v>34</v>
      </c>
      <c r="H189" s="480" t="e">
        <f t="shared" si="2"/>
        <v>#REF!</v>
      </c>
      <c r="I189" s="685" t="e">
        <f>IF(G189&lt;=#REF!,0,Apoio!#REF!)</f>
        <v>#REF!</v>
      </c>
      <c r="J189" s="688"/>
      <c r="K189" s="686"/>
      <c r="L189" s="636" t="e">
        <f>VLOOKUP(G189,$AB$253:$AC$336,2,FALSE)+VLOOKUP(G189,#REF!,2,FALSE)+VLOOKUP(G189,$AD$253:$AD$369,2,FALSE)+VLOOKUP(G189,$AE$253:$AF$369,2,FALSE)+VLOOKUP(G189,$AG$253:$AH$369,2,FALSE)+VLOOKUP(G189,$Z$253:$AA$369,2,FALSE)</f>
        <v>#N/A</v>
      </c>
      <c r="M189" s="685" t="e">
        <f t="shared" si="1"/>
        <v>#N/A</v>
      </c>
      <c r="N189" s="686"/>
      <c r="O189" s="690"/>
      <c r="P189" s="691"/>
      <c r="Q189" s="685" t="e">
        <f>VLOOKUP(G189,$AB$253:$AC$336,2,FALSE)+VLOOKUP(G189,#REF!,2,FALSE)+VLOOKUP(G189,$AD$253:$AD$369,2,FALSE)+VLOOKUP(G189,$Z$253:$AA$369,2,FALSE)+IF(G189&lt;=#REF!,I189)</f>
        <v>#N/A</v>
      </c>
      <c r="R189" s="686"/>
      <c r="CC189" s="384"/>
    </row>
    <row r="190" spans="7:81" ht="15" hidden="1" customHeight="1" x14ac:dyDescent="0.2">
      <c r="G190" s="465">
        <v>35</v>
      </c>
      <c r="H190" s="480" t="e">
        <f t="shared" si="2"/>
        <v>#REF!</v>
      </c>
      <c r="I190" s="685" t="e">
        <f>IF(G190&lt;=#REF!,0,Apoio!#REF!)</f>
        <v>#REF!</v>
      </c>
      <c r="J190" s="688"/>
      <c r="K190" s="686"/>
      <c r="L190" s="636" t="e">
        <f>VLOOKUP(G190,$AB$253:$AC$336,2,FALSE)+VLOOKUP(G190,#REF!,2,FALSE)+VLOOKUP(G190,$AD$253:$AD$369,2,FALSE)+VLOOKUP(G190,$AE$253:$AF$369,2,FALSE)+VLOOKUP(G190,$AG$253:$AH$369,2,FALSE)+VLOOKUP(G190,$Z$253:$AA$369,2,FALSE)</f>
        <v>#N/A</v>
      </c>
      <c r="M190" s="685" t="e">
        <f t="shared" si="1"/>
        <v>#N/A</v>
      </c>
      <c r="N190" s="686"/>
      <c r="O190" s="690"/>
      <c r="P190" s="691"/>
      <c r="Q190" s="685" t="e">
        <f>VLOOKUP(G190,$AB$253:$AC$336,2,FALSE)+VLOOKUP(G190,#REF!,2,FALSE)+VLOOKUP(G190,$AD$253:$AD$369,2,FALSE)+VLOOKUP(G190,$Z$253:$AA$369,2,FALSE)+IF(G190&lt;=#REF!,I190)</f>
        <v>#N/A</v>
      </c>
      <c r="R190" s="686"/>
      <c r="CC190" s="384"/>
    </row>
    <row r="191" spans="7:81" ht="15" hidden="1" customHeight="1" x14ac:dyDescent="0.2">
      <c r="G191" s="465">
        <v>36</v>
      </c>
      <c r="H191" s="480" t="e">
        <f t="shared" si="2"/>
        <v>#REF!</v>
      </c>
      <c r="I191" s="685" t="e">
        <f>IF(G191&lt;=#REF!,0,Apoio!#REF!)</f>
        <v>#REF!</v>
      </c>
      <c r="J191" s="688"/>
      <c r="K191" s="686"/>
      <c r="L191" s="636" t="e">
        <f>VLOOKUP(G191,$AB$253:$AC$336,2,FALSE)+VLOOKUP(G191,#REF!,2,FALSE)+VLOOKUP(G191,$AD$253:$AD$369,2,FALSE)+VLOOKUP(G191,$AE$253:$AF$369,2,FALSE)+VLOOKUP(G191,$AG$253:$AH$369,2,FALSE)+VLOOKUP(G191,$Z$253:$AA$369,2,FALSE)</f>
        <v>#N/A</v>
      </c>
      <c r="M191" s="685" t="e">
        <f t="shared" si="1"/>
        <v>#N/A</v>
      </c>
      <c r="N191" s="686"/>
      <c r="O191" s="690"/>
      <c r="P191" s="691"/>
      <c r="Q191" s="685" t="e">
        <f>VLOOKUP(G191,$AB$253:$AC$336,2,FALSE)+VLOOKUP(G191,#REF!,2,FALSE)+VLOOKUP(G191,$AD$253:$AD$369,2,FALSE)+VLOOKUP(G191,$Z$253:$AA$369,2,FALSE)+IF(G191&lt;=#REF!,I191)</f>
        <v>#N/A</v>
      </c>
      <c r="R191" s="686"/>
      <c r="CC191" s="384"/>
    </row>
    <row r="192" spans="7:81" ht="15" hidden="1" customHeight="1" x14ac:dyDescent="0.2">
      <c r="G192" s="465">
        <v>37</v>
      </c>
      <c r="H192" s="480" t="e">
        <f t="shared" si="2"/>
        <v>#REF!</v>
      </c>
      <c r="I192" s="685" t="e">
        <f>IF(G192&lt;=#REF!,0,Apoio!#REF!)</f>
        <v>#REF!</v>
      </c>
      <c r="J192" s="688"/>
      <c r="K192" s="686"/>
      <c r="L192" s="636" t="e">
        <f>VLOOKUP(G192,$AB$253:$AC$336,2,FALSE)+VLOOKUP(G192,#REF!,2,FALSE)+VLOOKUP(G192,$AD$253:$AD$369,2,FALSE)+VLOOKUP(G192,$AE$253:$AF$369,2,FALSE)+VLOOKUP(G192,$AG$253:$AH$369,2,FALSE)+VLOOKUP(G192,$Z$253:$AA$369,2,FALSE)</f>
        <v>#N/A</v>
      </c>
      <c r="M192" s="685" t="e">
        <f t="shared" si="1"/>
        <v>#N/A</v>
      </c>
      <c r="N192" s="686"/>
      <c r="O192" s="690"/>
      <c r="P192" s="691"/>
      <c r="Q192" s="685" t="e">
        <f>VLOOKUP(G192,$AB$253:$AC$336,2,FALSE)+VLOOKUP(G192,#REF!,2,FALSE)+VLOOKUP(G192,$AD$253:$AD$369,2,FALSE)+VLOOKUP(G192,$Z$253:$AA$369,2,FALSE)+IF(G192&lt;=#REF!,I192)</f>
        <v>#N/A</v>
      </c>
      <c r="R192" s="686"/>
      <c r="CC192" s="384"/>
    </row>
    <row r="193" spans="7:81" ht="15" hidden="1" customHeight="1" x14ac:dyDescent="0.2">
      <c r="G193" s="465">
        <v>38</v>
      </c>
      <c r="H193" s="480" t="e">
        <f t="shared" si="2"/>
        <v>#REF!</v>
      </c>
      <c r="I193" s="685" t="e">
        <f>IF(G193&lt;=#REF!,0,Apoio!#REF!)</f>
        <v>#REF!</v>
      </c>
      <c r="J193" s="688"/>
      <c r="K193" s="686"/>
      <c r="L193" s="636" t="e">
        <f>VLOOKUP(G193,$AB$253:$AC$336,2,FALSE)+VLOOKUP(G193,#REF!,2,FALSE)+VLOOKUP(G193,$AD$253:$AD$369,2,FALSE)+VLOOKUP(G193,$AE$253:$AF$369,2,FALSE)+VLOOKUP(G193,$AG$253:$AH$369,2,FALSE)+VLOOKUP(G193,$Z$253:$AA$369,2,FALSE)</f>
        <v>#N/A</v>
      </c>
      <c r="M193" s="685" t="e">
        <f t="shared" si="1"/>
        <v>#N/A</v>
      </c>
      <c r="N193" s="686"/>
      <c r="O193" s="690"/>
      <c r="P193" s="691"/>
      <c r="Q193" s="685" t="e">
        <f>VLOOKUP(G193,$AB$253:$AC$336,2,FALSE)+VLOOKUP(G193,#REF!,2,FALSE)+VLOOKUP(G193,$AD$253:$AD$369,2,FALSE)+VLOOKUP(G193,$Z$253:$AA$369,2,FALSE)+IF(G193&lt;=#REF!,I193)</f>
        <v>#N/A</v>
      </c>
      <c r="R193" s="686"/>
      <c r="CC193" s="384"/>
    </row>
    <row r="194" spans="7:81" ht="15" hidden="1" customHeight="1" x14ac:dyDescent="0.2">
      <c r="G194" s="465">
        <v>39</v>
      </c>
      <c r="H194" s="480" t="e">
        <f t="shared" si="2"/>
        <v>#REF!</v>
      </c>
      <c r="I194" s="685" t="e">
        <f>IF(G194&lt;=#REF!,0,Apoio!#REF!)</f>
        <v>#REF!</v>
      </c>
      <c r="J194" s="688"/>
      <c r="K194" s="686"/>
      <c r="L194" s="636" t="e">
        <f>VLOOKUP(G194,$AB$253:$AC$336,2,FALSE)+VLOOKUP(G194,#REF!,2,FALSE)+VLOOKUP(G194,$AD$253:$AD$369,2,FALSE)+VLOOKUP(G194,$AE$253:$AF$369,2,FALSE)+VLOOKUP(G194,$AG$253:$AH$369,2,FALSE)+VLOOKUP(G194,$Z$253:$AA$369,2,FALSE)</f>
        <v>#N/A</v>
      </c>
      <c r="M194" s="685" t="e">
        <f t="shared" si="1"/>
        <v>#N/A</v>
      </c>
      <c r="N194" s="686"/>
      <c r="O194" s="690"/>
      <c r="P194" s="691"/>
      <c r="Q194" s="685" t="e">
        <f>VLOOKUP(G194,$AB$253:$AC$336,2,FALSE)+VLOOKUP(G194,#REF!,2,FALSE)+VLOOKUP(G194,$AD$253:$AD$369,2,FALSE)+VLOOKUP(G194,$Z$253:$AA$369,2,FALSE)+IF(G194&lt;=#REF!,I194)</f>
        <v>#N/A</v>
      </c>
      <c r="R194" s="686"/>
      <c r="CC194" s="384"/>
    </row>
    <row r="195" spans="7:81" ht="15" hidden="1" customHeight="1" x14ac:dyDescent="0.2">
      <c r="G195" s="465">
        <v>40</v>
      </c>
      <c r="H195" s="480" t="e">
        <f t="shared" si="2"/>
        <v>#REF!</v>
      </c>
      <c r="I195" s="685" t="e">
        <f>IF(G195&lt;=#REF!,0,Apoio!#REF!)</f>
        <v>#REF!</v>
      </c>
      <c r="J195" s="688"/>
      <c r="K195" s="686"/>
      <c r="L195" s="636" t="e">
        <f>VLOOKUP(G195,$AB$253:$AC$336,2,FALSE)+VLOOKUP(G195,#REF!,2,FALSE)+VLOOKUP(G195,$AD$253:$AD$369,2,FALSE)+VLOOKUP(G195,$AE$253:$AF$369,2,FALSE)+VLOOKUP(G195,$AG$253:$AH$369,2,FALSE)+VLOOKUP(G195,$Z$253:$AA$369,2,FALSE)</f>
        <v>#N/A</v>
      </c>
      <c r="M195" s="685" t="e">
        <f t="shared" si="1"/>
        <v>#N/A</v>
      </c>
      <c r="N195" s="686"/>
      <c r="O195" s="690"/>
      <c r="P195" s="691"/>
      <c r="Q195" s="685" t="e">
        <f>VLOOKUP(G195,$AB$253:$AC$336,2,FALSE)+VLOOKUP(G195,#REF!,2,FALSE)+VLOOKUP(G195,$AD$253:$AD$369,2,FALSE)+VLOOKUP(G195,$Z$253:$AA$369,2,FALSE)+IF(G195&lt;=#REF!,I195)</f>
        <v>#N/A</v>
      </c>
      <c r="R195" s="686"/>
      <c r="CC195" s="384"/>
    </row>
    <row r="196" spans="7:81" ht="19.5" hidden="1" customHeight="1" x14ac:dyDescent="0.2">
      <c r="M196" s="689"/>
      <c r="N196" s="689"/>
      <c r="O196" s="402"/>
      <c r="P196" s="402"/>
      <c r="CC196" s="384"/>
    </row>
    <row r="197" spans="7:81" ht="19.5" hidden="1" customHeight="1" x14ac:dyDescent="0.2">
      <c r="M197" s="687"/>
      <c r="N197" s="687"/>
      <c r="O197" s="402"/>
      <c r="P197" s="402"/>
      <c r="CC197" s="384"/>
    </row>
    <row r="198" spans="7:81" ht="19.5" hidden="1" customHeight="1" x14ac:dyDescent="0.2">
      <c r="M198" s="687"/>
      <c r="N198" s="687"/>
      <c r="O198" s="402"/>
      <c r="P198" s="402"/>
      <c r="CC198" s="384"/>
    </row>
    <row r="199" spans="7:81" ht="19.5" hidden="1" customHeight="1" x14ac:dyDescent="0.2">
      <c r="M199" s="687"/>
      <c r="N199" s="687"/>
      <c r="CC199" s="384"/>
    </row>
    <row r="200" spans="7:81" ht="19.5" hidden="1" customHeight="1" x14ac:dyDescent="0.2">
      <c r="M200" s="687"/>
      <c r="N200" s="687"/>
      <c r="CC200" s="384"/>
    </row>
    <row r="201" spans="7:81" ht="19.5" hidden="1" customHeight="1" x14ac:dyDescent="0.2">
      <c r="M201" s="687"/>
      <c r="N201" s="687"/>
      <c r="CC201" s="384"/>
    </row>
    <row r="202" spans="7:81" ht="19.5" hidden="1" customHeight="1" x14ac:dyDescent="0.2">
      <c r="M202" s="687"/>
      <c r="N202" s="687"/>
      <c r="BS202" s="660"/>
      <c r="CC202" s="384"/>
    </row>
    <row r="203" spans="7:81" ht="19.5" hidden="1" customHeight="1" x14ac:dyDescent="0.2">
      <c r="M203" s="687"/>
      <c r="N203" s="687"/>
      <c r="BS203" s="660"/>
      <c r="CC203" s="384"/>
    </row>
    <row r="204" spans="7:81" ht="19.5" hidden="1" customHeight="1" x14ac:dyDescent="0.2">
      <c r="M204" s="687"/>
      <c r="N204" s="687"/>
      <c r="BS204" s="660"/>
      <c r="CC204" s="384"/>
    </row>
    <row r="205" spans="7:81" ht="19.5" hidden="1" customHeight="1" x14ac:dyDescent="0.2">
      <c r="M205" s="687"/>
      <c r="N205" s="687"/>
      <c r="BS205" s="660"/>
      <c r="CC205" s="384"/>
    </row>
    <row r="206" spans="7:81" ht="19.5" hidden="1" customHeight="1" x14ac:dyDescent="0.2">
      <c r="M206" s="687"/>
      <c r="N206" s="687"/>
      <c r="BS206" s="660"/>
      <c r="CC206" s="384"/>
    </row>
    <row r="207" spans="7:81" ht="19.5" hidden="1" customHeight="1" x14ac:dyDescent="0.2">
      <c r="M207" s="687"/>
      <c r="N207" s="687"/>
      <c r="BS207" s="660"/>
      <c r="CC207" s="384"/>
    </row>
    <row r="208" spans="7:81" ht="19.5" hidden="1" customHeight="1" x14ac:dyDescent="0.2">
      <c r="M208" s="687"/>
      <c r="N208" s="687"/>
      <c r="BS208" s="660"/>
      <c r="CC208" s="384"/>
    </row>
    <row r="209" spans="71:81" hidden="1" x14ac:dyDescent="0.2">
      <c r="BS209" s="660"/>
      <c r="CC209" s="384"/>
    </row>
    <row r="210" spans="71:81" hidden="1" x14ac:dyDescent="0.2">
      <c r="BS210" s="660"/>
      <c r="CC210" s="384"/>
    </row>
    <row r="211" spans="71:81" hidden="1" x14ac:dyDescent="0.2">
      <c r="BS211" s="660"/>
      <c r="CC211" s="384"/>
    </row>
    <row r="212" spans="71:81" hidden="1" x14ac:dyDescent="0.2">
      <c r="BS212" s="660"/>
      <c r="CC212" s="384"/>
    </row>
    <row r="213" spans="71:81" hidden="1" x14ac:dyDescent="0.2">
      <c r="BS213" s="660"/>
      <c r="CC213" s="384"/>
    </row>
    <row r="214" spans="71:81" hidden="1" x14ac:dyDescent="0.2">
      <c r="BS214" s="660"/>
      <c r="CC214" s="384"/>
    </row>
    <row r="215" spans="71:81" hidden="1" x14ac:dyDescent="0.2">
      <c r="BS215" s="660"/>
      <c r="CC215" s="384"/>
    </row>
    <row r="216" spans="71:81" hidden="1" x14ac:dyDescent="0.2">
      <c r="BS216" s="660"/>
      <c r="CC216" s="384"/>
    </row>
    <row r="217" spans="71:81" hidden="1" x14ac:dyDescent="0.2">
      <c r="BS217" s="660"/>
      <c r="CC217" s="384"/>
    </row>
    <row r="218" spans="71:81" hidden="1" x14ac:dyDescent="0.2">
      <c r="BS218" s="660"/>
      <c r="CC218" s="384"/>
    </row>
    <row r="219" spans="71:81" hidden="1" x14ac:dyDescent="0.2">
      <c r="BS219" s="660"/>
      <c r="CC219" s="384"/>
    </row>
    <row r="220" spans="71:81" hidden="1" x14ac:dyDescent="0.2">
      <c r="BS220" s="660"/>
      <c r="CC220" s="384"/>
    </row>
    <row r="221" spans="71:81" hidden="1" x14ac:dyDescent="0.2">
      <c r="BS221" s="660"/>
      <c r="CC221" s="384"/>
    </row>
    <row r="222" spans="71:81" hidden="1" x14ac:dyDescent="0.2">
      <c r="BS222" s="660"/>
      <c r="CC222" s="384"/>
    </row>
    <row r="223" spans="71:81" hidden="1" x14ac:dyDescent="0.2">
      <c r="BS223" s="660"/>
      <c r="CC223" s="384"/>
    </row>
    <row r="224" spans="71:81" hidden="1" x14ac:dyDescent="0.2">
      <c r="BS224" s="660"/>
      <c r="CC224" s="384"/>
    </row>
    <row r="225" spans="71:81" hidden="1" x14ac:dyDescent="0.2">
      <c r="BS225" s="660"/>
      <c r="CC225" s="384"/>
    </row>
    <row r="226" spans="71:81" hidden="1" x14ac:dyDescent="0.2">
      <c r="BS226" s="660"/>
      <c r="CC226" s="384"/>
    </row>
    <row r="227" spans="71:81" hidden="1" x14ac:dyDescent="0.2">
      <c r="BS227" s="660"/>
      <c r="CC227" s="384"/>
    </row>
    <row r="228" spans="71:81" hidden="1" x14ac:dyDescent="0.2">
      <c r="BS228" s="660"/>
      <c r="CC228" s="384"/>
    </row>
    <row r="229" spans="71:81" hidden="1" x14ac:dyDescent="0.2">
      <c r="BS229" s="660"/>
      <c r="CC229" s="384"/>
    </row>
    <row r="230" spans="71:81" hidden="1" x14ac:dyDescent="0.2">
      <c r="BS230" s="660"/>
      <c r="CC230" s="384"/>
    </row>
    <row r="231" spans="71:81" hidden="1" x14ac:dyDescent="0.2">
      <c r="BS231" s="660"/>
      <c r="CC231" s="384"/>
    </row>
    <row r="232" spans="71:81" hidden="1" x14ac:dyDescent="0.2">
      <c r="BS232" s="660"/>
      <c r="CC232" s="384"/>
    </row>
    <row r="233" spans="71:81" hidden="1" x14ac:dyDescent="0.2">
      <c r="BS233" s="660"/>
      <c r="CC233" s="384"/>
    </row>
    <row r="234" spans="71:81" hidden="1" x14ac:dyDescent="0.2">
      <c r="BS234" s="660"/>
      <c r="CC234" s="384"/>
    </row>
    <row r="235" spans="71:81" hidden="1" x14ac:dyDescent="0.2">
      <c r="BS235" s="660"/>
      <c r="CC235" s="384"/>
    </row>
    <row r="236" spans="71:81" hidden="1" x14ac:dyDescent="0.2">
      <c r="BS236" s="660"/>
      <c r="CC236" s="384"/>
    </row>
    <row r="237" spans="71:81" hidden="1" x14ac:dyDescent="0.2">
      <c r="BS237" s="660"/>
      <c r="CC237" s="384"/>
    </row>
    <row r="238" spans="71:81" hidden="1" x14ac:dyDescent="0.2">
      <c r="BS238" s="660"/>
      <c r="CC238" s="384"/>
    </row>
    <row r="239" spans="71:81" hidden="1" x14ac:dyDescent="0.2">
      <c r="BS239" s="660"/>
      <c r="CC239" s="384"/>
    </row>
    <row r="240" spans="71:81" hidden="1" x14ac:dyDescent="0.2">
      <c r="BS240" s="660"/>
      <c r="CC240" s="384"/>
    </row>
    <row r="241" spans="71:81" hidden="1" x14ac:dyDescent="0.2">
      <c r="BS241" s="660"/>
      <c r="CC241" s="384"/>
    </row>
    <row r="242" spans="71:81" hidden="1" x14ac:dyDescent="0.2">
      <c r="BS242" s="660"/>
      <c r="CC242" s="384"/>
    </row>
    <row r="243" spans="71:81" hidden="1" x14ac:dyDescent="0.2">
      <c r="BS243" s="660"/>
      <c r="CC243" s="384"/>
    </row>
    <row r="244" spans="71:81" hidden="1" x14ac:dyDescent="0.2">
      <c r="BS244" s="660"/>
      <c r="CC244" s="384"/>
    </row>
    <row r="245" spans="71:81" hidden="1" x14ac:dyDescent="0.2">
      <c r="BS245" s="660"/>
      <c r="CC245" s="384"/>
    </row>
    <row r="246" spans="71:81" hidden="1" x14ac:dyDescent="0.2">
      <c r="BS246" s="660"/>
      <c r="CC246" s="384"/>
    </row>
    <row r="247" spans="71:81" hidden="1" x14ac:dyDescent="0.2">
      <c r="BS247" s="660"/>
      <c r="CC247" s="384"/>
    </row>
    <row r="248" spans="71:81" hidden="1" x14ac:dyDescent="0.2">
      <c r="BS248" s="660"/>
      <c r="CC248" s="384"/>
    </row>
    <row r="249" spans="71:81" hidden="1" x14ac:dyDescent="0.2">
      <c r="BS249" s="660"/>
      <c r="CC249" s="384"/>
    </row>
    <row r="250" spans="71:81" hidden="1" x14ac:dyDescent="0.2">
      <c r="BS250" s="660"/>
      <c r="CC250" s="384"/>
    </row>
    <row r="251" spans="71:81" hidden="1" x14ac:dyDescent="0.2">
      <c r="BS251" s="660"/>
      <c r="CC251" s="384"/>
    </row>
    <row r="252" spans="71:81" hidden="1" x14ac:dyDescent="0.2">
      <c r="BS252" s="660"/>
      <c r="CC252" s="384"/>
    </row>
    <row r="253" spans="71:81" hidden="1" x14ac:dyDescent="0.2">
      <c r="CC253" s="384"/>
    </row>
    <row r="254" spans="71:81" hidden="1" x14ac:dyDescent="0.2">
      <c r="CC254" s="384"/>
    </row>
    <row r="255" spans="71:81" hidden="1" x14ac:dyDescent="0.2">
      <c r="CC255" s="384"/>
    </row>
    <row r="256" spans="71:81" hidden="1" x14ac:dyDescent="0.2">
      <c r="CC256" s="384"/>
    </row>
    <row r="257" spans="81:81" hidden="1" x14ac:dyDescent="0.2">
      <c r="CC257" s="384"/>
    </row>
    <row r="258" spans="81:81" hidden="1" x14ac:dyDescent="0.2">
      <c r="CC258" s="384"/>
    </row>
    <row r="259" spans="81:81" hidden="1" x14ac:dyDescent="0.2">
      <c r="CC259" s="384"/>
    </row>
    <row r="260" spans="81:81" hidden="1" x14ac:dyDescent="0.2">
      <c r="CC260" s="384"/>
    </row>
    <row r="261" spans="81:81" hidden="1" x14ac:dyDescent="0.2">
      <c r="CC261" s="384"/>
    </row>
    <row r="262" spans="81:81" hidden="1" x14ac:dyDescent="0.2">
      <c r="CC262" s="384"/>
    </row>
    <row r="263" spans="81:81" hidden="1" x14ac:dyDescent="0.2">
      <c r="CC263" s="384"/>
    </row>
    <row r="264" spans="81:81" hidden="1" x14ac:dyDescent="0.2">
      <c r="CC264" s="384"/>
    </row>
    <row r="265" spans="81:81" hidden="1" x14ac:dyDescent="0.2">
      <c r="CC265" s="384"/>
    </row>
    <row r="266" spans="81:81" hidden="1" x14ac:dyDescent="0.2">
      <c r="CC266" s="384"/>
    </row>
    <row r="267" spans="81:81" hidden="1" x14ac:dyDescent="0.2">
      <c r="CC267" s="384"/>
    </row>
    <row r="268" spans="81:81" hidden="1" x14ac:dyDescent="0.2">
      <c r="CC268" s="384"/>
    </row>
    <row r="269" spans="81:81" hidden="1" x14ac:dyDescent="0.2">
      <c r="CC269" s="384"/>
    </row>
    <row r="270" spans="81:81" hidden="1" x14ac:dyDescent="0.2">
      <c r="CC270" s="384"/>
    </row>
    <row r="271" spans="81:81" hidden="1" x14ac:dyDescent="0.2">
      <c r="CC271" s="384"/>
    </row>
    <row r="272" spans="81:81" hidden="1" x14ac:dyDescent="0.2">
      <c r="CC272" s="384"/>
    </row>
    <row r="273" spans="81:81" hidden="1" x14ac:dyDescent="0.2">
      <c r="CC273" s="384"/>
    </row>
    <row r="274" spans="81:81" hidden="1" x14ac:dyDescent="0.2">
      <c r="CC274" s="384"/>
    </row>
    <row r="275" spans="81:81" hidden="1" x14ac:dyDescent="0.2">
      <c r="CC275" s="384"/>
    </row>
    <row r="276" spans="81:81" hidden="1" x14ac:dyDescent="0.2">
      <c r="CC276" s="384"/>
    </row>
    <row r="277" spans="81:81" hidden="1" x14ac:dyDescent="0.2">
      <c r="CC277" s="384"/>
    </row>
    <row r="278" spans="81:81" hidden="1" x14ac:dyDescent="0.2">
      <c r="CC278" s="384"/>
    </row>
    <row r="279" spans="81:81" hidden="1" x14ac:dyDescent="0.2">
      <c r="CC279" s="384"/>
    </row>
    <row r="280" spans="81:81" hidden="1" x14ac:dyDescent="0.2">
      <c r="CC280" s="384"/>
    </row>
    <row r="281" spans="81:81" hidden="1" x14ac:dyDescent="0.2">
      <c r="CC281" s="384"/>
    </row>
    <row r="282" spans="81:81" hidden="1" x14ac:dyDescent="0.2">
      <c r="CC282" s="384"/>
    </row>
    <row r="283" spans="81:81" hidden="1" x14ac:dyDescent="0.2">
      <c r="CC283" s="384"/>
    </row>
    <row r="284" spans="81:81" hidden="1" x14ac:dyDescent="0.2">
      <c r="CC284" s="384"/>
    </row>
    <row r="285" spans="81:81" hidden="1" x14ac:dyDescent="0.2">
      <c r="CC285" s="384"/>
    </row>
    <row r="286" spans="81:81" hidden="1" x14ac:dyDescent="0.2">
      <c r="CC286" s="384"/>
    </row>
    <row r="287" spans="81:81" hidden="1" x14ac:dyDescent="0.2">
      <c r="CC287" s="384"/>
    </row>
    <row r="288" spans="81:81" hidden="1" x14ac:dyDescent="0.2">
      <c r="CC288" s="384"/>
    </row>
    <row r="289" spans="81:81" hidden="1" x14ac:dyDescent="0.2">
      <c r="CC289" s="384"/>
    </row>
    <row r="290" spans="81:81" hidden="1" x14ac:dyDescent="0.2">
      <c r="CC290" s="384"/>
    </row>
    <row r="291" spans="81:81" hidden="1" x14ac:dyDescent="0.2">
      <c r="CC291" s="384"/>
    </row>
    <row r="292" spans="81:81" hidden="1" x14ac:dyDescent="0.2">
      <c r="CC292" s="384"/>
    </row>
    <row r="293" spans="81:81" hidden="1" x14ac:dyDescent="0.2">
      <c r="CC293" s="384"/>
    </row>
    <row r="294" spans="81:81" hidden="1" x14ac:dyDescent="0.2">
      <c r="CC294" s="384"/>
    </row>
    <row r="295" spans="81:81" hidden="1" x14ac:dyDescent="0.2">
      <c r="CC295" s="384"/>
    </row>
    <row r="296" spans="81:81" hidden="1" x14ac:dyDescent="0.2">
      <c r="CC296" s="384"/>
    </row>
    <row r="297" spans="81:81" hidden="1" x14ac:dyDescent="0.2">
      <c r="CC297" s="384"/>
    </row>
    <row r="298" spans="81:81" hidden="1" x14ac:dyDescent="0.2">
      <c r="CC298" s="384"/>
    </row>
    <row r="299" spans="81:81" hidden="1" x14ac:dyDescent="0.2">
      <c r="CC299" s="384"/>
    </row>
    <row r="300" spans="81:81" hidden="1" x14ac:dyDescent="0.2">
      <c r="CC300" s="384"/>
    </row>
    <row r="301" spans="81:81" hidden="1" x14ac:dyDescent="0.2">
      <c r="CC301" s="384"/>
    </row>
    <row r="302" spans="81:81" hidden="1" x14ac:dyDescent="0.2">
      <c r="CC302" s="384"/>
    </row>
    <row r="303" spans="81:81" hidden="1" x14ac:dyDescent="0.2">
      <c r="CC303" s="384"/>
    </row>
    <row r="304" spans="81:81" hidden="1" x14ac:dyDescent="0.2">
      <c r="CC304" s="384"/>
    </row>
    <row r="305" spans="81:81" hidden="1" x14ac:dyDescent="0.2">
      <c r="CC305" s="384"/>
    </row>
    <row r="306" spans="81:81" hidden="1" x14ac:dyDescent="0.2">
      <c r="CC306" s="384"/>
    </row>
    <row r="307" spans="81:81" hidden="1" x14ac:dyDescent="0.2">
      <c r="CC307" s="384"/>
    </row>
    <row r="308" spans="81:81" hidden="1" x14ac:dyDescent="0.2">
      <c r="CC308" s="384"/>
    </row>
    <row r="309" spans="81:81" hidden="1" x14ac:dyDescent="0.2">
      <c r="CC309" s="384"/>
    </row>
    <row r="310" spans="81:81" hidden="1" x14ac:dyDescent="0.2">
      <c r="CC310" s="384"/>
    </row>
    <row r="311" spans="81:81" hidden="1" x14ac:dyDescent="0.2">
      <c r="CC311" s="384"/>
    </row>
    <row r="312" spans="81:81" hidden="1" x14ac:dyDescent="0.2">
      <c r="CC312" s="384"/>
    </row>
    <row r="313" spans="81:81" hidden="1" x14ac:dyDescent="0.2">
      <c r="CC313" s="384"/>
    </row>
    <row r="314" spans="81:81" hidden="1" x14ac:dyDescent="0.2">
      <c r="CC314" s="384"/>
    </row>
    <row r="315" spans="81:81" hidden="1" x14ac:dyDescent="0.2">
      <c r="CC315" s="384"/>
    </row>
    <row r="316" spans="81:81" hidden="1" x14ac:dyDescent="0.2">
      <c r="CC316" s="384"/>
    </row>
    <row r="317" spans="81:81" hidden="1" x14ac:dyDescent="0.2">
      <c r="CC317" s="384"/>
    </row>
    <row r="318" spans="81:81" hidden="1" x14ac:dyDescent="0.2">
      <c r="CC318" s="384"/>
    </row>
    <row r="319" spans="81:81" hidden="1" x14ac:dyDescent="0.2">
      <c r="CC319" s="384"/>
    </row>
    <row r="320" spans="81:81" hidden="1" x14ac:dyDescent="0.2">
      <c r="CC320" s="384"/>
    </row>
    <row r="321" spans="81:81" hidden="1" x14ac:dyDescent="0.2">
      <c r="CC321" s="384"/>
    </row>
    <row r="322" spans="81:81" hidden="1" x14ac:dyDescent="0.2">
      <c r="CC322" s="384"/>
    </row>
    <row r="323" spans="81:81" hidden="1" x14ac:dyDescent="0.2">
      <c r="CC323" s="384"/>
    </row>
    <row r="324" spans="81:81" hidden="1" x14ac:dyDescent="0.2">
      <c r="CC324" s="384"/>
    </row>
    <row r="325" spans="81:81" hidden="1" x14ac:dyDescent="0.2">
      <c r="CC325" s="384"/>
    </row>
    <row r="326" spans="81:81" hidden="1" x14ac:dyDescent="0.2">
      <c r="CC326" s="384"/>
    </row>
    <row r="327" spans="81:81" hidden="1" x14ac:dyDescent="0.2">
      <c r="CC327" s="384"/>
    </row>
    <row r="328" spans="81:81" hidden="1" x14ac:dyDescent="0.2">
      <c r="CC328" s="384"/>
    </row>
    <row r="329" spans="81:81" hidden="1" x14ac:dyDescent="0.2">
      <c r="CC329" s="384"/>
    </row>
    <row r="330" spans="81:81" hidden="1" x14ac:dyDescent="0.2">
      <c r="CC330" s="384"/>
    </row>
    <row r="331" spans="81:81" hidden="1" x14ac:dyDescent="0.2">
      <c r="CC331" s="384"/>
    </row>
    <row r="332" spans="81:81" hidden="1" x14ac:dyDescent="0.2">
      <c r="CC332" s="384"/>
    </row>
    <row r="333" spans="81:81" hidden="1" x14ac:dyDescent="0.2">
      <c r="CC333" s="384"/>
    </row>
    <row r="334" spans="81:81" hidden="1" x14ac:dyDescent="0.2">
      <c r="CC334" s="384"/>
    </row>
    <row r="335" spans="81:81" hidden="1" x14ac:dyDescent="0.2">
      <c r="CC335" s="384"/>
    </row>
    <row r="336" spans="81:81" hidden="1" x14ac:dyDescent="0.2">
      <c r="CC336" s="384"/>
    </row>
    <row r="337" spans="81:81" hidden="1" x14ac:dyDescent="0.2">
      <c r="CC337" s="384"/>
    </row>
    <row r="338" spans="81:81" hidden="1" x14ac:dyDescent="0.2">
      <c r="CC338" s="384"/>
    </row>
    <row r="339" spans="81:81" hidden="1" x14ac:dyDescent="0.2">
      <c r="CC339" s="384"/>
    </row>
    <row r="340" spans="81:81" hidden="1" x14ac:dyDescent="0.2">
      <c r="CC340" s="384"/>
    </row>
    <row r="341" spans="81:81" hidden="1" x14ac:dyDescent="0.2">
      <c r="CC341" s="384"/>
    </row>
    <row r="342" spans="81:81" hidden="1" x14ac:dyDescent="0.2">
      <c r="CC342" s="384"/>
    </row>
    <row r="343" spans="81:81" hidden="1" x14ac:dyDescent="0.2">
      <c r="CC343" s="384"/>
    </row>
    <row r="344" spans="81:81" hidden="1" x14ac:dyDescent="0.2">
      <c r="CC344" s="384"/>
    </row>
    <row r="345" spans="81:81" hidden="1" x14ac:dyDescent="0.2">
      <c r="CC345" s="384"/>
    </row>
    <row r="346" spans="81:81" hidden="1" x14ac:dyDescent="0.2">
      <c r="CC346" s="384"/>
    </row>
    <row r="347" spans="81:81" hidden="1" x14ac:dyDescent="0.2">
      <c r="CC347" s="384"/>
    </row>
    <row r="348" spans="81:81" hidden="1" x14ac:dyDescent="0.2">
      <c r="CC348" s="384"/>
    </row>
    <row r="349" spans="81:81" hidden="1" x14ac:dyDescent="0.2">
      <c r="CC349" s="384"/>
    </row>
    <row r="350" spans="81:81" hidden="1" x14ac:dyDescent="0.2">
      <c r="CC350" s="384"/>
    </row>
    <row r="351" spans="81:81" hidden="1" x14ac:dyDescent="0.2">
      <c r="CC351" s="384"/>
    </row>
    <row r="352" spans="81:81" hidden="1" x14ac:dyDescent="0.2">
      <c r="CC352" s="384"/>
    </row>
    <row r="353" spans="81:81" hidden="1" x14ac:dyDescent="0.2">
      <c r="CC353" s="384"/>
    </row>
    <row r="354" spans="81:81" hidden="1" x14ac:dyDescent="0.2">
      <c r="CC354" s="384"/>
    </row>
    <row r="355" spans="81:81" hidden="1" x14ac:dyDescent="0.2">
      <c r="CC355" s="384"/>
    </row>
    <row r="356" spans="81:81" hidden="1" x14ac:dyDescent="0.2">
      <c r="CC356" s="384"/>
    </row>
    <row r="357" spans="81:81" hidden="1" x14ac:dyDescent="0.2">
      <c r="CC357" s="384"/>
    </row>
    <row r="358" spans="81:81" hidden="1" x14ac:dyDescent="0.2">
      <c r="CC358" s="384"/>
    </row>
    <row r="359" spans="81:81" hidden="1" x14ac:dyDescent="0.2">
      <c r="CC359" s="384"/>
    </row>
    <row r="360" spans="81:81" hidden="1" x14ac:dyDescent="0.2">
      <c r="CC360" s="384"/>
    </row>
    <row r="361" spans="81:81" hidden="1" x14ac:dyDescent="0.2">
      <c r="CC361" s="384"/>
    </row>
    <row r="362" spans="81:81" hidden="1" x14ac:dyDescent="0.2">
      <c r="CC362" s="384"/>
    </row>
    <row r="363" spans="81:81" hidden="1" x14ac:dyDescent="0.2">
      <c r="CC363" s="384"/>
    </row>
    <row r="364" spans="81:81" hidden="1" x14ac:dyDescent="0.2">
      <c r="CC364" s="384"/>
    </row>
    <row r="365" spans="81:81" hidden="1" x14ac:dyDescent="0.2">
      <c r="CC365" s="384"/>
    </row>
    <row r="366" spans="81:81" hidden="1" x14ac:dyDescent="0.2">
      <c r="CC366" s="384"/>
    </row>
    <row r="367" spans="81:81" hidden="1" x14ac:dyDescent="0.2">
      <c r="CC367" s="384"/>
    </row>
    <row r="368" spans="81:81" hidden="1" x14ac:dyDescent="0.2">
      <c r="CC368" s="384"/>
    </row>
    <row r="369" spans="81:81" hidden="1" x14ac:dyDescent="0.2">
      <c r="CC369" s="384"/>
    </row>
    <row r="370" spans="81:81" hidden="1" x14ac:dyDescent="0.2">
      <c r="CC370" s="384"/>
    </row>
    <row r="371" spans="81:81" hidden="1" x14ac:dyDescent="0.2">
      <c r="CC371" s="384"/>
    </row>
    <row r="372" spans="81:81" hidden="1" x14ac:dyDescent="0.2">
      <c r="CC372" s="384"/>
    </row>
    <row r="373" spans="81:81" hidden="1" x14ac:dyDescent="0.2">
      <c r="CC373" s="384"/>
    </row>
    <row r="374" spans="81:81" hidden="1" x14ac:dyDescent="0.2">
      <c r="CC374" s="384"/>
    </row>
    <row r="375" spans="81:81" hidden="1" x14ac:dyDescent="0.2">
      <c r="CC375" s="384"/>
    </row>
    <row r="376" spans="81:81" hidden="1" x14ac:dyDescent="0.2">
      <c r="CC376" s="384"/>
    </row>
    <row r="377" spans="81:81" hidden="1" x14ac:dyDescent="0.2">
      <c r="CC377" s="384"/>
    </row>
    <row r="378" spans="81:81" hidden="1" x14ac:dyDescent="0.2">
      <c r="CC378" s="384"/>
    </row>
    <row r="379" spans="81:81" hidden="1" x14ac:dyDescent="0.2">
      <c r="CC379" s="384"/>
    </row>
    <row r="380" spans="81:81" hidden="1" x14ac:dyDescent="0.2">
      <c r="CC380" s="384"/>
    </row>
    <row r="381" spans="81:81" hidden="1" x14ac:dyDescent="0.2">
      <c r="CC381" s="384"/>
    </row>
    <row r="382" spans="81:81" hidden="1" x14ac:dyDescent="0.2">
      <c r="CC382" s="384"/>
    </row>
    <row r="383" spans="81:81" hidden="1" x14ac:dyDescent="0.2">
      <c r="CC383" s="384"/>
    </row>
    <row r="384" spans="81:81" hidden="1" x14ac:dyDescent="0.2">
      <c r="CC384" s="384"/>
    </row>
    <row r="385" spans="81:81" hidden="1" x14ac:dyDescent="0.2">
      <c r="CC385" s="384"/>
    </row>
    <row r="386" spans="81:81" hidden="1" x14ac:dyDescent="0.2">
      <c r="CC386" s="384"/>
    </row>
    <row r="387" spans="81:81" hidden="1" x14ac:dyDescent="0.2">
      <c r="CC387" s="384"/>
    </row>
    <row r="388" spans="81:81" hidden="1" x14ac:dyDescent="0.2">
      <c r="CC388" s="384"/>
    </row>
    <row r="389" spans="81:81" hidden="1" x14ac:dyDescent="0.2">
      <c r="CC389" s="384"/>
    </row>
    <row r="390" spans="81:81" hidden="1" x14ac:dyDescent="0.2">
      <c r="CC390" s="384"/>
    </row>
    <row r="391" spans="81:81" hidden="1" x14ac:dyDescent="0.2">
      <c r="CC391" s="384"/>
    </row>
    <row r="392" spans="81:81" hidden="1" x14ac:dyDescent="0.2">
      <c r="CC392" s="384"/>
    </row>
    <row r="393" spans="81:81" hidden="1" x14ac:dyDescent="0.2">
      <c r="CC393" s="384"/>
    </row>
    <row r="394" spans="81:81" hidden="1" x14ac:dyDescent="0.2">
      <c r="CC394" s="384"/>
    </row>
    <row r="395" spans="81:81" hidden="1" x14ac:dyDescent="0.2">
      <c r="CC395" s="384"/>
    </row>
    <row r="396" spans="81:81" hidden="1" x14ac:dyDescent="0.2">
      <c r="CC396" s="384"/>
    </row>
    <row r="397" spans="81:81" hidden="1" x14ac:dyDescent="0.2">
      <c r="CC397" s="384"/>
    </row>
    <row r="398" spans="81:81" hidden="1" x14ac:dyDescent="0.2">
      <c r="CC398" s="384"/>
    </row>
    <row r="399" spans="81:81" hidden="1" x14ac:dyDescent="0.2">
      <c r="CC399" s="384"/>
    </row>
    <row r="400" spans="81:81" hidden="1" x14ac:dyDescent="0.2">
      <c r="CC400" s="384"/>
    </row>
    <row r="401" spans="81:81" hidden="1" x14ac:dyDescent="0.2">
      <c r="CC401" s="384"/>
    </row>
    <row r="402" spans="81:81" hidden="1" x14ac:dyDescent="0.2">
      <c r="CC402" s="384"/>
    </row>
    <row r="403" spans="81:81" hidden="1" x14ac:dyDescent="0.2">
      <c r="CC403" s="384"/>
    </row>
    <row r="404" spans="81:81" hidden="1" x14ac:dyDescent="0.2">
      <c r="CC404" s="384"/>
    </row>
    <row r="405" spans="81:81" hidden="1" x14ac:dyDescent="0.2">
      <c r="CC405" s="384"/>
    </row>
    <row r="406" spans="81:81" hidden="1" x14ac:dyDescent="0.2">
      <c r="CC406" s="384"/>
    </row>
    <row r="407" spans="81:81" hidden="1" x14ac:dyDescent="0.2">
      <c r="CC407" s="384"/>
    </row>
    <row r="408" spans="81:81" hidden="1" x14ac:dyDescent="0.2">
      <c r="CC408" s="384"/>
    </row>
    <row r="409" spans="81:81" hidden="1" x14ac:dyDescent="0.2">
      <c r="CC409" s="384"/>
    </row>
    <row r="410" spans="81:81" hidden="1" x14ac:dyDescent="0.2">
      <c r="CC410" s="384"/>
    </row>
    <row r="411" spans="81:81" hidden="1" x14ac:dyDescent="0.2">
      <c r="CC411" s="384"/>
    </row>
    <row r="412" spans="81:81" hidden="1" x14ac:dyDescent="0.2">
      <c r="CC412" s="384"/>
    </row>
    <row r="413" spans="81:81" hidden="1" x14ac:dyDescent="0.2">
      <c r="CC413" s="384"/>
    </row>
    <row r="414" spans="81:81" hidden="1" x14ac:dyDescent="0.2">
      <c r="CC414" s="384"/>
    </row>
    <row r="415" spans="81:81" hidden="1" x14ac:dyDescent="0.2">
      <c r="CC415" s="384"/>
    </row>
    <row r="416" spans="81:81" hidden="1" x14ac:dyDescent="0.2">
      <c r="CC416" s="384"/>
    </row>
    <row r="417" spans="81:81" hidden="1" x14ac:dyDescent="0.2">
      <c r="CC417" s="384"/>
    </row>
    <row r="418" spans="81:81" hidden="1" x14ac:dyDescent="0.2">
      <c r="CC418" s="384"/>
    </row>
    <row r="419" spans="81:81" hidden="1" x14ac:dyDescent="0.2">
      <c r="CC419" s="384"/>
    </row>
    <row r="420" spans="81:81" hidden="1" x14ac:dyDescent="0.2">
      <c r="CC420" s="384"/>
    </row>
    <row r="421" spans="81:81" hidden="1" x14ac:dyDescent="0.2">
      <c r="CC421" s="384"/>
    </row>
    <row r="422" spans="81:81" hidden="1" x14ac:dyDescent="0.2">
      <c r="CC422" s="384"/>
    </row>
    <row r="423" spans="81:81" hidden="1" x14ac:dyDescent="0.2">
      <c r="CC423" s="384"/>
    </row>
    <row r="424" spans="81:81" hidden="1" x14ac:dyDescent="0.2">
      <c r="CC424" s="384"/>
    </row>
    <row r="425" spans="81:81" hidden="1" x14ac:dyDescent="0.2">
      <c r="CC425" s="384"/>
    </row>
    <row r="426" spans="81:81" hidden="1" x14ac:dyDescent="0.2">
      <c r="CC426" s="384"/>
    </row>
    <row r="427" spans="81:81" hidden="1" x14ac:dyDescent="0.2">
      <c r="CC427" s="384"/>
    </row>
    <row r="428" spans="81:81" hidden="1" x14ac:dyDescent="0.2">
      <c r="CC428" s="384"/>
    </row>
    <row r="429" spans="81:81" hidden="1" x14ac:dyDescent="0.2">
      <c r="CC429" s="384"/>
    </row>
    <row r="430" spans="81:81" hidden="1" x14ac:dyDescent="0.2">
      <c r="CC430" s="384"/>
    </row>
    <row r="431" spans="81:81" hidden="1" x14ac:dyDescent="0.2">
      <c r="CC431" s="384"/>
    </row>
    <row r="432" spans="81:81" hidden="1" x14ac:dyDescent="0.2">
      <c r="CC432" s="384"/>
    </row>
    <row r="433" spans="81:81" hidden="1" x14ac:dyDescent="0.2">
      <c r="CC433" s="384"/>
    </row>
    <row r="434" spans="81:81" hidden="1" x14ac:dyDescent="0.2">
      <c r="CC434" s="384"/>
    </row>
    <row r="435" spans="81:81" hidden="1" x14ac:dyDescent="0.2">
      <c r="CC435" s="384"/>
    </row>
    <row r="436" spans="81:81" hidden="1" x14ac:dyDescent="0.2">
      <c r="CC436" s="384"/>
    </row>
    <row r="437" spans="81:81" hidden="1" x14ac:dyDescent="0.2">
      <c r="CC437" s="384"/>
    </row>
    <row r="438" spans="81:81" hidden="1" x14ac:dyDescent="0.2">
      <c r="CC438" s="384"/>
    </row>
    <row r="439" spans="81:81" hidden="1" x14ac:dyDescent="0.2">
      <c r="CC439" s="384"/>
    </row>
    <row r="440" spans="81:81" hidden="1" x14ac:dyDescent="0.2">
      <c r="CC440" s="384"/>
    </row>
    <row r="441" spans="81:81" hidden="1" x14ac:dyDescent="0.2">
      <c r="CC441" s="384"/>
    </row>
    <row r="442" spans="81:81" hidden="1" x14ac:dyDescent="0.2">
      <c r="CC442" s="384"/>
    </row>
    <row r="443" spans="81:81" hidden="1" x14ac:dyDescent="0.2">
      <c r="CC443" s="384"/>
    </row>
    <row r="444" spans="81:81" hidden="1" x14ac:dyDescent="0.2">
      <c r="CC444" s="384"/>
    </row>
    <row r="445" spans="81:81" hidden="1" x14ac:dyDescent="0.2">
      <c r="CC445" s="384"/>
    </row>
    <row r="446" spans="81:81" hidden="1" x14ac:dyDescent="0.2">
      <c r="CC446" s="384"/>
    </row>
    <row r="447" spans="81:81" hidden="1" x14ac:dyDescent="0.2">
      <c r="CC447" s="384"/>
    </row>
    <row r="448" spans="81:81" hidden="1" x14ac:dyDescent="0.2">
      <c r="CC448" s="384"/>
    </row>
    <row r="449" spans="81:81" hidden="1" x14ac:dyDescent="0.2">
      <c r="CC449" s="384"/>
    </row>
    <row r="450" spans="81:81" hidden="1" x14ac:dyDescent="0.2">
      <c r="CC450" s="384"/>
    </row>
    <row r="451" spans="81:81" hidden="1" x14ac:dyDescent="0.2">
      <c r="CC451" s="384"/>
    </row>
    <row r="452" spans="81:81" hidden="1" x14ac:dyDescent="0.2">
      <c r="CC452" s="384"/>
    </row>
    <row r="453" spans="81:81" hidden="1" x14ac:dyDescent="0.2">
      <c r="CC453" s="384"/>
    </row>
    <row r="454" spans="81:81" hidden="1" x14ac:dyDescent="0.2">
      <c r="CC454" s="384"/>
    </row>
    <row r="455" spans="81:81" hidden="1" x14ac:dyDescent="0.2">
      <c r="CC455" s="384"/>
    </row>
    <row r="456" spans="81:81" hidden="1" x14ac:dyDescent="0.2">
      <c r="CC456" s="384"/>
    </row>
    <row r="457" spans="81:81" hidden="1" x14ac:dyDescent="0.2">
      <c r="CC457" s="384"/>
    </row>
    <row r="458" spans="81:81" hidden="1" x14ac:dyDescent="0.2">
      <c r="CC458" s="384"/>
    </row>
    <row r="459" spans="81:81" hidden="1" x14ac:dyDescent="0.2">
      <c r="CC459" s="384"/>
    </row>
    <row r="460" spans="81:81" hidden="1" x14ac:dyDescent="0.2">
      <c r="CC460" s="384"/>
    </row>
    <row r="461" spans="81:81" hidden="1" x14ac:dyDescent="0.2">
      <c r="CC461" s="384"/>
    </row>
    <row r="462" spans="81:81" hidden="1" x14ac:dyDescent="0.2">
      <c r="CC462" s="384"/>
    </row>
    <row r="463" spans="81:81" hidden="1" x14ac:dyDescent="0.2">
      <c r="CC463" s="384"/>
    </row>
    <row r="464" spans="81:81" hidden="1" x14ac:dyDescent="0.2">
      <c r="CC464" s="384"/>
    </row>
    <row r="465" spans="81:81" hidden="1" x14ac:dyDescent="0.2">
      <c r="CC465" s="384"/>
    </row>
    <row r="466" spans="81:81" hidden="1" x14ac:dyDescent="0.2">
      <c r="CC466" s="384"/>
    </row>
    <row r="467" spans="81:81" hidden="1" x14ac:dyDescent="0.2">
      <c r="CC467" s="384"/>
    </row>
    <row r="468" spans="81:81" hidden="1" x14ac:dyDescent="0.2">
      <c r="CC468" s="384"/>
    </row>
    <row r="469" spans="81:81" hidden="1" x14ac:dyDescent="0.2">
      <c r="CC469" s="384"/>
    </row>
    <row r="470" spans="81:81" hidden="1" x14ac:dyDescent="0.2">
      <c r="CC470" s="384"/>
    </row>
    <row r="471" spans="81:81" hidden="1" x14ac:dyDescent="0.2">
      <c r="CC471" s="384"/>
    </row>
    <row r="472" spans="81:81" hidden="1" x14ac:dyDescent="0.2">
      <c r="CC472" s="384"/>
    </row>
    <row r="473" spans="81:81" hidden="1" x14ac:dyDescent="0.2">
      <c r="CC473" s="384"/>
    </row>
    <row r="474" spans="81:81" hidden="1" x14ac:dyDescent="0.2">
      <c r="CC474" s="384"/>
    </row>
    <row r="475" spans="81:81" hidden="1" x14ac:dyDescent="0.2">
      <c r="CC475" s="384"/>
    </row>
    <row r="476" spans="81:81" hidden="1" x14ac:dyDescent="0.2">
      <c r="CC476" s="384"/>
    </row>
    <row r="477" spans="81:81" hidden="1" x14ac:dyDescent="0.2">
      <c r="CC477" s="384"/>
    </row>
    <row r="478" spans="81:81" hidden="1" x14ac:dyDescent="0.2">
      <c r="CC478" s="384"/>
    </row>
    <row r="479" spans="81:81" hidden="1" x14ac:dyDescent="0.2">
      <c r="CC479" s="384"/>
    </row>
    <row r="480" spans="81:81" hidden="1" x14ac:dyDescent="0.2">
      <c r="CC480" s="384"/>
    </row>
    <row r="481" spans="81:81" hidden="1" x14ac:dyDescent="0.2">
      <c r="CC481" s="384"/>
    </row>
    <row r="482" spans="81:81" hidden="1" x14ac:dyDescent="0.2">
      <c r="CC482" s="384"/>
    </row>
    <row r="483" spans="81:81" hidden="1" x14ac:dyDescent="0.2">
      <c r="CC483" s="384"/>
    </row>
    <row r="484" spans="81:81" hidden="1" x14ac:dyDescent="0.2">
      <c r="CC484" s="384"/>
    </row>
    <row r="485" spans="81:81" hidden="1" x14ac:dyDescent="0.2">
      <c r="CC485" s="384"/>
    </row>
    <row r="486" spans="81:81" hidden="1" x14ac:dyDescent="0.2">
      <c r="CC486" s="384"/>
    </row>
    <row r="487" spans="81:81" hidden="1" x14ac:dyDescent="0.2">
      <c r="CC487" s="384"/>
    </row>
    <row r="488" spans="81:81" hidden="1" x14ac:dyDescent="0.2">
      <c r="CC488" s="384"/>
    </row>
    <row r="489" spans="81:81" hidden="1" x14ac:dyDescent="0.2">
      <c r="CC489" s="384"/>
    </row>
    <row r="490" spans="81:81" hidden="1" x14ac:dyDescent="0.2">
      <c r="CC490" s="384"/>
    </row>
    <row r="491" spans="81:81" hidden="1" x14ac:dyDescent="0.2">
      <c r="CC491" s="384"/>
    </row>
    <row r="492" spans="81:81" hidden="1" x14ac:dyDescent="0.2">
      <c r="CC492" s="384"/>
    </row>
    <row r="493" spans="81:81" hidden="1" x14ac:dyDescent="0.2">
      <c r="CC493" s="384"/>
    </row>
    <row r="494" spans="81:81" hidden="1" x14ac:dyDescent="0.2">
      <c r="CC494" s="384"/>
    </row>
    <row r="495" spans="81:81" hidden="1" x14ac:dyDescent="0.2">
      <c r="CC495" s="384"/>
    </row>
    <row r="496" spans="81:81" hidden="1" x14ac:dyDescent="0.2">
      <c r="CC496" s="384"/>
    </row>
    <row r="497" spans="81:81" hidden="1" x14ac:dyDescent="0.2">
      <c r="CC497" s="384"/>
    </row>
    <row r="498" spans="81:81" hidden="1" x14ac:dyDescent="0.2">
      <c r="CC498" s="384"/>
    </row>
    <row r="499" spans="81:81" hidden="1" x14ac:dyDescent="0.2">
      <c r="CC499" s="384"/>
    </row>
    <row r="500" spans="81:81" hidden="1" x14ac:dyDescent="0.2">
      <c r="CC500" s="384"/>
    </row>
    <row r="501" spans="81:81" hidden="1" x14ac:dyDescent="0.2">
      <c r="CC501" s="384"/>
    </row>
    <row r="502" spans="81:81" hidden="1" x14ac:dyDescent="0.2">
      <c r="CC502" s="384"/>
    </row>
    <row r="503" spans="81:81" hidden="1" x14ac:dyDescent="0.2">
      <c r="CC503" s="384"/>
    </row>
    <row r="504" spans="81:81" hidden="1" x14ac:dyDescent="0.2">
      <c r="CC504" s="384"/>
    </row>
    <row r="505" spans="81:81" hidden="1" x14ac:dyDescent="0.2">
      <c r="CC505" s="384"/>
    </row>
    <row r="506" spans="81:81" hidden="1" x14ac:dyDescent="0.2">
      <c r="CC506" s="384"/>
    </row>
    <row r="507" spans="81:81" hidden="1" x14ac:dyDescent="0.2">
      <c r="CC507" s="384"/>
    </row>
    <row r="508" spans="81:81" hidden="1" x14ac:dyDescent="0.2">
      <c r="CC508" s="384"/>
    </row>
    <row r="509" spans="81:81" hidden="1" x14ac:dyDescent="0.2">
      <c r="CC509" s="384"/>
    </row>
    <row r="510" spans="81:81" hidden="1" x14ac:dyDescent="0.2">
      <c r="CC510" s="384"/>
    </row>
    <row r="511" spans="81:81" hidden="1" x14ac:dyDescent="0.2">
      <c r="CC511" s="384"/>
    </row>
    <row r="512" spans="81:81" hidden="1" x14ac:dyDescent="0.2">
      <c r="CC512" s="384"/>
    </row>
    <row r="513" spans="81:81" hidden="1" x14ac:dyDescent="0.2">
      <c r="CC513" s="384"/>
    </row>
    <row r="514" spans="81:81" hidden="1" x14ac:dyDescent="0.2">
      <c r="CC514" s="384"/>
    </row>
    <row r="515" spans="81:81" hidden="1" x14ac:dyDescent="0.2">
      <c r="CC515" s="384"/>
    </row>
    <row r="516" spans="81:81" hidden="1" x14ac:dyDescent="0.2">
      <c r="CC516" s="384"/>
    </row>
    <row r="517" spans="81:81" hidden="1" x14ac:dyDescent="0.2">
      <c r="CC517" s="384"/>
    </row>
    <row r="518" spans="81:81" hidden="1" x14ac:dyDescent="0.2">
      <c r="CC518" s="384"/>
    </row>
    <row r="519" spans="81:81" hidden="1" x14ac:dyDescent="0.2">
      <c r="CC519" s="384"/>
    </row>
    <row r="520" spans="81:81" hidden="1" x14ac:dyDescent="0.2">
      <c r="CC520" s="384"/>
    </row>
    <row r="521" spans="81:81" hidden="1" x14ac:dyDescent="0.2">
      <c r="CC521" s="384"/>
    </row>
    <row r="522" spans="81:81" hidden="1" x14ac:dyDescent="0.2">
      <c r="CC522" s="384"/>
    </row>
    <row r="523" spans="81:81" hidden="1" x14ac:dyDescent="0.2">
      <c r="CC523" s="384"/>
    </row>
    <row r="524" spans="81:81" hidden="1" x14ac:dyDescent="0.2">
      <c r="CC524" s="384"/>
    </row>
    <row r="525" spans="81:81" hidden="1" x14ac:dyDescent="0.2">
      <c r="CC525" s="384"/>
    </row>
    <row r="526" spans="81:81" hidden="1" x14ac:dyDescent="0.2">
      <c r="CC526" s="384"/>
    </row>
    <row r="527" spans="81:81" hidden="1" x14ac:dyDescent="0.2">
      <c r="CC527" s="384"/>
    </row>
    <row r="528" spans="81:81" hidden="1" x14ac:dyDescent="0.2">
      <c r="CC528" s="384"/>
    </row>
    <row r="529" spans="81:81" hidden="1" x14ac:dyDescent="0.2">
      <c r="CC529" s="384"/>
    </row>
    <row r="530" spans="81:81" hidden="1" x14ac:dyDescent="0.2">
      <c r="CC530" s="384"/>
    </row>
    <row r="531" spans="81:81" hidden="1" x14ac:dyDescent="0.2">
      <c r="CC531" s="384"/>
    </row>
    <row r="532" spans="81:81" hidden="1" x14ac:dyDescent="0.2">
      <c r="CC532" s="384"/>
    </row>
    <row r="533" spans="81:81" hidden="1" x14ac:dyDescent="0.2">
      <c r="CC533" s="384"/>
    </row>
    <row r="534" spans="81:81" hidden="1" x14ac:dyDescent="0.2">
      <c r="CC534" s="384"/>
    </row>
    <row r="535" spans="81:81" hidden="1" x14ac:dyDescent="0.2">
      <c r="CC535" s="384"/>
    </row>
    <row r="536" spans="81:81" hidden="1" x14ac:dyDescent="0.2">
      <c r="CC536" s="384"/>
    </row>
    <row r="537" spans="81:81" hidden="1" x14ac:dyDescent="0.2">
      <c r="CC537" s="384"/>
    </row>
    <row r="538" spans="81:81" hidden="1" x14ac:dyDescent="0.2">
      <c r="CC538" s="384"/>
    </row>
    <row r="539" spans="81:81" hidden="1" x14ac:dyDescent="0.2">
      <c r="CC539" s="384"/>
    </row>
    <row r="540" spans="81:81" hidden="1" x14ac:dyDescent="0.2">
      <c r="CC540" s="384"/>
    </row>
    <row r="541" spans="81:81" hidden="1" x14ac:dyDescent="0.2">
      <c r="CC541" s="384"/>
    </row>
    <row r="542" spans="81:81" hidden="1" x14ac:dyDescent="0.2">
      <c r="CC542" s="384"/>
    </row>
    <row r="543" spans="81:81" hidden="1" x14ac:dyDescent="0.2">
      <c r="CC543" s="384"/>
    </row>
    <row r="544" spans="81:81" hidden="1" x14ac:dyDescent="0.2">
      <c r="CC544" s="384"/>
    </row>
    <row r="545" spans="81:81" hidden="1" x14ac:dyDescent="0.2">
      <c r="CC545" s="384"/>
    </row>
    <row r="546" spans="81:81" hidden="1" x14ac:dyDescent="0.2">
      <c r="CC546" s="384"/>
    </row>
    <row r="547" spans="81:81" hidden="1" x14ac:dyDescent="0.2">
      <c r="CC547" s="384"/>
    </row>
    <row r="548" spans="81:81" hidden="1" x14ac:dyDescent="0.2">
      <c r="CC548" s="384"/>
    </row>
    <row r="549" spans="81:81" hidden="1" x14ac:dyDescent="0.2">
      <c r="CC549" s="384"/>
    </row>
    <row r="550" spans="81:81" hidden="1" x14ac:dyDescent="0.2">
      <c r="CC550" s="384"/>
    </row>
    <row r="551" spans="81:81" hidden="1" x14ac:dyDescent="0.2">
      <c r="CC551" s="384"/>
    </row>
    <row r="552" spans="81:81" hidden="1" x14ac:dyDescent="0.2">
      <c r="CC552" s="384"/>
    </row>
    <row r="553" spans="81:81" hidden="1" x14ac:dyDescent="0.2">
      <c r="CC553" s="384"/>
    </row>
    <row r="554" spans="81:81" hidden="1" x14ac:dyDescent="0.2">
      <c r="CC554" s="384"/>
    </row>
    <row r="555" spans="81:81" hidden="1" x14ac:dyDescent="0.2">
      <c r="CC555" s="384"/>
    </row>
    <row r="556" spans="81:81" hidden="1" x14ac:dyDescent="0.2">
      <c r="CC556" s="384"/>
    </row>
    <row r="557" spans="81:81" hidden="1" x14ac:dyDescent="0.2">
      <c r="CC557" s="384"/>
    </row>
    <row r="558" spans="81:81" hidden="1" x14ac:dyDescent="0.2">
      <c r="CC558" s="384"/>
    </row>
    <row r="559" spans="81:81" hidden="1" x14ac:dyDescent="0.2">
      <c r="CC559" s="384"/>
    </row>
    <row r="560" spans="81:81" hidden="1" x14ac:dyDescent="0.2">
      <c r="CC560" s="384"/>
    </row>
    <row r="561" spans="81:81" hidden="1" x14ac:dyDescent="0.2">
      <c r="CC561" s="384"/>
    </row>
    <row r="562" spans="81:81" hidden="1" x14ac:dyDescent="0.2">
      <c r="CC562" s="384"/>
    </row>
    <row r="563" spans="81:81" hidden="1" x14ac:dyDescent="0.2">
      <c r="CC563" s="384"/>
    </row>
    <row r="564" spans="81:81" hidden="1" x14ac:dyDescent="0.2">
      <c r="CC564" s="384"/>
    </row>
    <row r="565" spans="81:81" hidden="1" x14ac:dyDescent="0.2">
      <c r="CC565" s="384"/>
    </row>
    <row r="566" spans="81:81" hidden="1" x14ac:dyDescent="0.2">
      <c r="CC566" s="384"/>
    </row>
    <row r="567" spans="81:81" hidden="1" x14ac:dyDescent="0.2">
      <c r="CC567" s="384"/>
    </row>
    <row r="568" spans="81:81" hidden="1" x14ac:dyDescent="0.2">
      <c r="CC568" s="384"/>
    </row>
    <row r="569" spans="81:81" hidden="1" x14ac:dyDescent="0.2">
      <c r="CC569" s="384"/>
    </row>
    <row r="570" spans="81:81" hidden="1" x14ac:dyDescent="0.2">
      <c r="CC570" s="384"/>
    </row>
    <row r="571" spans="81:81" hidden="1" x14ac:dyDescent="0.2">
      <c r="CC571" s="384"/>
    </row>
    <row r="572" spans="81:81" hidden="1" x14ac:dyDescent="0.2">
      <c r="CC572" s="384"/>
    </row>
    <row r="573" spans="81:81" hidden="1" x14ac:dyDescent="0.2">
      <c r="CC573" s="384"/>
    </row>
    <row r="574" spans="81:81" hidden="1" x14ac:dyDescent="0.2">
      <c r="CC574" s="384"/>
    </row>
    <row r="575" spans="81:81" hidden="1" x14ac:dyDescent="0.2">
      <c r="CC575" s="384"/>
    </row>
    <row r="576" spans="81:81" hidden="1" x14ac:dyDescent="0.2">
      <c r="CC576" s="384"/>
    </row>
    <row r="577" spans="81:81" hidden="1" x14ac:dyDescent="0.2">
      <c r="CC577" s="384"/>
    </row>
    <row r="578" spans="81:81" hidden="1" x14ac:dyDescent="0.2">
      <c r="CC578" s="384"/>
    </row>
    <row r="579" spans="81:81" hidden="1" x14ac:dyDescent="0.2">
      <c r="CC579" s="384"/>
    </row>
    <row r="580" spans="81:81" hidden="1" x14ac:dyDescent="0.2">
      <c r="CC580" s="384"/>
    </row>
    <row r="581" spans="81:81" hidden="1" x14ac:dyDescent="0.2">
      <c r="CC581" s="384"/>
    </row>
    <row r="582" spans="81:81" hidden="1" x14ac:dyDescent="0.2">
      <c r="CC582" s="384"/>
    </row>
    <row r="583" spans="81:81" hidden="1" x14ac:dyDescent="0.2">
      <c r="CC583" s="384"/>
    </row>
    <row r="584" spans="81:81" hidden="1" x14ac:dyDescent="0.2">
      <c r="CC584" s="384"/>
    </row>
    <row r="585" spans="81:81" hidden="1" x14ac:dyDescent="0.2">
      <c r="CC585" s="384"/>
    </row>
    <row r="586" spans="81:81" hidden="1" x14ac:dyDescent="0.2">
      <c r="CC586" s="384"/>
    </row>
    <row r="587" spans="81:81" hidden="1" x14ac:dyDescent="0.2">
      <c r="CC587" s="384"/>
    </row>
    <row r="588" spans="81:81" hidden="1" x14ac:dyDescent="0.2">
      <c r="CC588" s="384"/>
    </row>
    <row r="589" spans="81:81" hidden="1" x14ac:dyDescent="0.2">
      <c r="CC589" s="384"/>
    </row>
    <row r="590" spans="81:81" hidden="1" x14ac:dyDescent="0.2">
      <c r="CC590" s="384"/>
    </row>
    <row r="591" spans="81:81" hidden="1" x14ac:dyDescent="0.2">
      <c r="CC591" s="384"/>
    </row>
    <row r="592" spans="81:81" hidden="1" x14ac:dyDescent="0.2">
      <c r="CC592" s="384"/>
    </row>
    <row r="593" spans="81:81" hidden="1" x14ac:dyDescent="0.2">
      <c r="CC593" s="384"/>
    </row>
    <row r="594" spans="81:81" hidden="1" x14ac:dyDescent="0.2">
      <c r="CC594" s="384"/>
    </row>
    <row r="595" spans="81:81" hidden="1" x14ac:dyDescent="0.2">
      <c r="CC595" s="384"/>
    </row>
    <row r="596" spans="81:81" hidden="1" x14ac:dyDescent="0.2">
      <c r="CC596" s="384"/>
    </row>
    <row r="597" spans="81:81" hidden="1" x14ac:dyDescent="0.2">
      <c r="CC597" s="384"/>
    </row>
    <row r="598" spans="81:81" hidden="1" x14ac:dyDescent="0.2">
      <c r="CC598" s="384"/>
    </row>
    <row r="599" spans="81:81" hidden="1" x14ac:dyDescent="0.2">
      <c r="CC599" s="384"/>
    </row>
    <row r="600" spans="81:81" hidden="1" x14ac:dyDescent="0.2">
      <c r="CC600" s="384"/>
    </row>
    <row r="601" spans="81:81" hidden="1" x14ac:dyDescent="0.2">
      <c r="CC601" s="384"/>
    </row>
    <row r="602" spans="81:81" hidden="1" x14ac:dyDescent="0.2">
      <c r="CC602" s="384"/>
    </row>
    <row r="603" spans="81:81" hidden="1" x14ac:dyDescent="0.2">
      <c r="CC603" s="384"/>
    </row>
    <row r="604" spans="81:81" hidden="1" x14ac:dyDescent="0.2">
      <c r="CC604" s="384"/>
    </row>
    <row r="605" spans="81:81" hidden="1" x14ac:dyDescent="0.2">
      <c r="CC605" s="384"/>
    </row>
    <row r="606" spans="81:81" hidden="1" x14ac:dyDescent="0.2">
      <c r="CC606" s="384"/>
    </row>
    <row r="607" spans="81:81" hidden="1" x14ac:dyDescent="0.2">
      <c r="CC607" s="384"/>
    </row>
    <row r="608" spans="81:81" hidden="1" x14ac:dyDescent="0.2">
      <c r="CC608" s="384"/>
    </row>
    <row r="609" spans="81:81" hidden="1" x14ac:dyDescent="0.2">
      <c r="CC609" s="384"/>
    </row>
    <row r="610" spans="81:81" hidden="1" x14ac:dyDescent="0.2">
      <c r="CC610" s="384"/>
    </row>
    <row r="611" spans="81:81" hidden="1" x14ac:dyDescent="0.2">
      <c r="CC611" s="384"/>
    </row>
    <row r="612" spans="81:81" hidden="1" x14ac:dyDescent="0.2">
      <c r="CC612" s="384"/>
    </row>
    <row r="613" spans="81:81" hidden="1" x14ac:dyDescent="0.2">
      <c r="CC613" s="384"/>
    </row>
    <row r="614" spans="81:81" hidden="1" x14ac:dyDescent="0.2">
      <c r="CC614" s="384"/>
    </row>
    <row r="615" spans="81:81" hidden="1" x14ac:dyDescent="0.2">
      <c r="CC615" s="384"/>
    </row>
    <row r="616" spans="81:81" hidden="1" x14ac:dyDescent="0.2">
      <c r="CC616" s="384"/>
    </row>
    <row r="617" spans="81:81" hidden="1" x14ac:dyDescent="0.2">
      <c r="CC617" s="384"/>
    </row>
    <row r="618" spans="81:81" hidden="1" x14ac:dyDescent="0.2">
      <c r="CC618" s="384"/>
    </row>
    <row r="619" spans="81:81" hidden="1" x14ac:dyDescent="0.2">
      <c r="CC619" s="384"/>
    </row>
    <row r="620" spans="81:81" hidden="1" x14ac:dyDescent="0.2">
      <c r="CC620" s="384"/>
    </row>
    <row r="621" spans="81:81" hidden="1" x14ac:dyDescent="0.2">
      <c r="CC621" s="384"/>
    </row>
    <row r="622" spans="81:81" hidden="1" x14ac:dyDescent="0.2">
      <c r="CC622" s="384"/>
    </row>
    <row r="623" spans="81:81" hidden="1" x14ac:dyDescent="0.2">
      <c r="CC623" s="384"/>
    </row>
    <row r="624" spans="81:81" hidden="1" x14ac:dyDescent="0.2">
      <c r="CC624" s="384"/>
    </row>
    <row r="625" spans="81:81" hidden="1" x14ac:dyDescent="0.2">
      <c r="CC625" s="384"/>
    </row>
    <row r="626" spans="81:81" hidden="1" x14ac:dyDescent="0.2">
      <c r="CC626" s="384"/>
    </row>
    <row r="627" spans="81:81" hidden="1" x14ac:dyDescent="0.2">
      <c r="CC627" s="384"/>
    </row>
    <row r="628" spans="81:81" hidden="1" x14ac:dyDescent="0.2">
      <c r="CC628" s="384"/>
    </row>
    <row r="629" spans="81:81" hidden="1" x14ac:dyDescent="0.2">
      <c r="CC629" s="384"/>
    </row>
    <row r="630" spans="81:81" hidden="1" x14ac:dyDescent="0.2">
      <c r="CC630" s="384"/>
    </row>
    <row r="631" spans="81:81" hidden="1" x14ac:dyDescent="0.2">
      <c r="CC631" s="384"/>
    </row>
    <row r="632" spans="81:81" hidden="1" x14ac:dyDescent="0.2">
      <c r="CC632" s="384"/>
    </row>
    <row r="633" spans="81:81" hidden="1" x14ac:dyDescent="0.2">
      <c r="CC633" s="384"/>
    </row>
    <row r="634" spans="81:81" hidden="1" x14ac:dyDescent="0.2">
      <c r="CC634" s="384"/>
    </row>
    <row r="635" spans="81:81" hidden="1" x14ac:dyDescent="0.2">
      <c r="CC635" s="384"/>
    </row>
    <row r="636" spans="81:81" hidden="1" x14ac:dyDescent="0.2">
      <c r="CC636" s="384"/>
    </row>
    <row r="637" spans="81:81" hidden="1" x14ac:dyDescent="0.2">
      <c r="CC637" s="384"/>
    </row>
    <row r="638" spans="81:81" hidden="1" x14ac:dyDescent="0.2">
      <c r="CC638" s="384"/>
    </row>
    <row r="639" spans="81:81" hidden="1" x14ac:dyDescent="0.2">
      <c r="CC639" s="384"/>
    </row>
    <row r="640" spans="81:81" hidden="1" x14ac:dyDescent="0.2">
      <c r="CC640" s="384"/>
    </row>
    <row r="641" spans="81:81" hidden="1" x14ac:dyDescent="0.2">
      <c r="CC641" s="384"/>
    </row>
    <row r="642" spans="81:81" hidden="1" x14ac:dyDescent="0.2">
      <c r="CC642" s="384"/>
    </row>
    <row r="643" spans="81:81" hidden="1" x14ac:dyDescent="0.2">
      <c r="CC643" s="384"/>
    </row>
    <row r="644" spans="81:81" hidden="1" x14ac:dyDescent="0.2">
      <c r="CC644" s="384"/>
    </row>
    <row r="645" spans="81:81" hidden="1" x14ac:dyDescent="0.2">
      <c r="CC645" s="384"/>
    </row>
    <row r="646" spans="81:81" hidden="1" x14ac:dyDescent="0.2">
      <c r="CC646" s="384"/>
    </row>
    <row r="647" spans="81:81" hidden="1" x14ac:dyDescent="0.2">
      <c r="CC647" s="384"/>
    </row>
    <row r="648" spans="81:81" hidden="1" x14ac:dyDescent="0.2">
      <c r="CC648" s="384"/>
    </row>
    <row r="649" spans="81:81" hidden="1" x14ac:dyDescent="0.2">
      <c r="CC649" s="384"/>
    </row>
    <row r="650" spans="81:81" hidden="1" x14ac:dyDescent="0.2">
      <c r="CC650" s="384"/>
    </row>
    <row r="651" spans="81:81" hidden="1" x14ac:dyDescent="0.2">
      <c r="CC651" s="384"/>
    </row>
    <row r="652" spans="81:81" hidden="1" x14ac:dyDescent="0.2">
      <c r="CC652" s="384"/>
    </row>
    <row r="653" spans="81:81" hidden="1" x14ac:dyDescent="0.2">
      <c r="CC653" s="384"/>
    </row>
    <row r="654" spans="81:81" hidden="1" x14ac:dyDescent="0.2">
      <c r="CC654" s="384"/>
    </row>
    <row r="655" spans="81:81" hidden="1" x14ac:dyDescent="0.2">
      <c r="CC655" s="384"/>
    </row>
    <row r="656" spans="81:81" hidden="1" x14ac:dyDescent="0.2">
      <c r="CC656" s="384"/>
    </row>
    <row r="657" spans="81:81" hidden="1" x14ac:dyDescent="0.2">
      <c r="CC657" s="384"/>
    </row>
    <row r="658" spans="81:81" hidden="1" x14ac:dyDescent="0.2">
      <c r="CC658" s="384"/>
    </row>
    <row r="659" spans="81:81" hidden="1" x14ac:dyDescent="0.2">
      <c r="CC659" s="384"/>
    </row>
    <row r="660" spans="81:81" hidden="1" x14ac:dyDescent="0.2">
      <c r="CC660" s="384"/>
    </row>
    <row r="661" spans="81:81" hidden="1" x14ac:dyDescent="0.2">
      <c r="CC661" s="384"/>
    </row>
    <row r="662" spans="81:81" hidden="1" x14ac:dyDescent="0.2">
      <c r="CC662" s="384"/>
    </row>
    <row r="663" spans="81:81" hidden="1" x14ac:dyDescent="0.2"/>
    <row r="664" spans="81:81" hidden="1" x14ac:dyDescent="0.2"/>
    <row r="665" spans="81:81" hidden="1" x14ac:dyDescent="0.2"/>
    <row r="666" spans="81:81" hidden="1" x14ac:dyDescent="0.2"/>
    <row r="667" spans="81:81" hidden="1" x14ac:dyDescent="0.2"/>
    <row r="668" spans="81:81" hidden="1" x14ac:dyDescent="0.2"/>
    <row r="669" spans="81:81" hidden="1" x14ac:dyDescent="0.2"/>
    <row r="670" spans="81:81" hidden="1" x14ac:dyDescent="0.2"/>
    <row r="671" spans="81:81" hidden="1" x14ac:dyDescent="0.2"/>
    <row r="672" spans="81:81" hidden="1" x14ac:dyDescent="0.2"/>
    <row r="673" spans="81:81" hidden="1" x14ac:dyDescent="0.2"/>
    <row r="674" spans="81:81" hidden="1" x14ac:dyDescent="0.2"/>
    <row r="675" spans="81:81" hidden="1" x14ac:dyDescent="0.2"/>
    <row r="676" spans="81:81" s="466" customFormat="1" hidden="1" x14ac:dyDescent="0.2">
      <c r="CC676" s="467"/>
    </row>
    <row r="677" spans="81:81" s="466" customFormat="1" hidden="1" x14ac:dyDescent="0.2">
      <c r="CC677" s="467"/>
    </row>
    <row r="678" spans="81:81" s="466" customFormat="1" hidden="1" x14ac:dyDescent="0.2">
      <c r="CC678" s="467"/>
    </row>
    <row r="679" spans="81:81" s="466" customFormat="1" hidden="1" x14ac:dyDescent="0.2">
      <c r="CC679" s="467"/>
    </row>
    <row r="680" spans="81:81" s="466" customFormat="1" hidden="1" x14ac:dyDescent="0.2">
      <c r="CC680" s="467"/>
    </row>
    <row r="681" spans="81:81" s="466" customFormat="1" hidden="1" x14ac:dyDescent="0.2">
      <c r="CC681" s="467"/>
    </row>
    <row r="682" spans="81:81" s="466" customFormat="1" hidden="1" x14ac:dyDescent="0.2">
      <c r="CC682" s="467"/>
    </row>
    <row r="683" spans="81:81" s="466" customFormat="1" hidden="1" x14ac:dyDescent="0.2">
      <c r="CC683" s="467"/>
    </row>
    <row r="684" spans="81:81" s="466" customFormat="1" hidden="1" x14ac:dyDescent="0.2">
      <c r="CC684" s="467"/>
    </row>
    <row r="685" spans="81:81" s="466" customFormat="1" hidden="1" x14ac:dyDescent="0.2">
      <c r="CC685" s="467"/>
    </row>
    <row r="686" spans="81:81" s="466" customFormat="1" hidden="1" x14ac:dyDescent="0.2">
      <c r="CC686" s="467"/>
    </row>
    <row r="687" spans="81:81" s="466" customFormat="1" hidden="1" x14ac:dyDescent="0.2">
      <c r="CC687" s="467"/>
    </row>
    <row r="688" spans="81:81" s="466" customFormat="1" hidden="1" x14ac:dyDescent="0.2">
      <c r="CC688" s="467"/>
    </row>
    <row r="689" spans="81:81" s="466" customFormat="1" hidden="1" x14ac:dyDescent="0.2">
      <c r="CC689" s="467"/>
    </row>
    <row r="690" spans="81:81" s="466" customFormat="1" hidden="1" x14ac:dyDescent="0.2">
      <c r="CC690" s="467"/>
    </row>
    <row r="691" spans="81:81" s="466" customFormat="1" hidden="1" x14ac:dyDescent="0.2">
      <c r="CC691" s="467"/>
    </row>
    <row r="692" spans="81:81" s="466" customFormat="1" hidden="1" x14ac:dyDescent="0.2">
      <c r="CC692" s="467"/>
    </row>
    <row r="693" spans="81:81" s="466" customFormat="1" hidden="1" x14ac:dyDescent="0.2">
      <c r="CC693" s="467"/>
    </row>
    <row r="694" spans="81:81" s="466" customFormat="1" hidden="1" x14ac:dyDescent="0.2">
      <c r="CC694" s="467"/>
    </row>
    <row r="695" spans="81:81" s="466" customFormat="1" hidden="1" x14ac:dyDescent="0.2">
      <c r="CC695" s="467"/>
    </row>
    <row r="696" spans="81:81" s="466" customFormat="1" hidden="1" x14ac:dyDescent="0.2">
      <c r="CC696" s="467"/>
    </row>
    <row r="697" spans="81:81" s="466" customFormat="1" hidden="1" x14ac:dyDescent="0.2">
      <c r="CC697" s="467"/>
    </row>
    <row r="698" spans="81:81" s="466" customFormat="1" hidden="1" x14ac:dyDescent="0.2">
      <c r="CC698" s="467"/>
    </row>
    <row r="699" spans="81:81" s="466" customFormat="1" hidden="1" x14ac:dyDescent="0.2">
      <c r="CC699" s="467"/>
    </row>
    <row r="700" spans="81:81" s="466" customFormat="1" hidden="1" x14ac:dyDescent="0.2">
      <c r="CC700" s="467"/>
    </row>
    <row r="701" spans="81:81" s="466" customFormat="1" hidden="1" x14ac:dyDescent="0.2">
      <c r="CC701" s="467"/>
    </row>
    <row r="702" spans="81:81" s="466" customFormat="1" hidden="1" x14ac:dyDescent="0.2">
      <c r="CC702" s="467"/>
    </row>
    <row r="703" spans="81:81" s="466" customFormat="1" hidden="1" x14ac:dyDescent="0.2">
      <c r="CC703" s="467"/>
    </row>
    <row r="704" spans="81:81" s="466" customFormat="1" hidden="1" x14ac:dyDescent="0.2">
      <c r="CC704" s="467"/>
    </row>
    <row r="705" spans="81:81" s="466" customFormat="1" hidden="1" x14ac:dyDescent="0.2">
      <c r="CC705" s="467"/>
    </row>
    <row r="706" spans="81:81" s="466" customFormat="1" hidden="1" x14ac:dyDescent="0.2">
      <c r="CC706" s="467"/>
    </row>
    <row r="707" spans="81:81" s="466" customFormat="1" hidden="1" x14ac:dyDescent="0.2">
      <c r="CC707" s="467"/>
    </row>
    <row r="708" spans="81:81" s="466" customFormat="1" hidden="1" x14ac:dyDescent="0.2">
      <c r="CC708" s="467"/>
    </row>
    <row r="709" spans="81:81" s="466" customFormat="1" hidden="1" x14ac:dyDescent="0.2">
      <c r="CC709" s="467"/>
    </row>
    <row r="710" spans="81:81" s="466" customFormat="1" hidden="1" x14ac:dyDescent="0.2">
      <c r="CC710" s="467"/>
    </row>
    <row r="711" spans="81:81" s="466" customFormat="1" hidden="1" x14ac:dyDescent="0.2">
      <c r="CC711" s="467"/>
    </row>
    <row r="712" spans="81:81" s="466" customFormat="1" hidden="1" x14ac:dyDescent="0.2">
      <c r="CC712" s="467"/>
    </row>
    <row r="713" spans="81:81" s="466" customFormat="1" hidden="1" x14ac:dyDescent="0.2">
      <c r="CC713" s="467"/>
    </row>
    <row r="714" spans="81:81" s="466" customFormat="1" hidden="1" x14ac:dyDescent="0.2">
      <c r="CC714" s="467"/>
    </row>
    <row r="715" spans="81:81" s="466" customFormat="1" hidden="1" x14ac:dyDescent="0.2">
      <c r="CC715" s="467"/>
    </row>
    <row r="716" spans="81:81" s="466" customFormat="1" hidden="1" x14ac:dyDescent="0.2">
      <c r="CC716" s="467"/>
    </row>
    <row r="717" spans="81:81" s="466" customFormat="1" hidden="1" x14ac:dyDescent="0.2">
      <c r="CC717" s="467"/>
    </row>
    <row r="718" spans="81:81" s="466" customFormat="1" hidden="1" x14ac:dyDescent="0.2">
      <c r="CC718" s="467"/>
    </row>
    <row r="719" spans="81:81" s="466" customFormat="1" hidden="1" x14ac:dyDescent="0.2">
      <c r="CC719" s="467"/>
    </row>
    <row r="720" spans="81:81" s="466" customFormat="1" hidden="1" x14ac:dyDescent="0.2">
      <c r="CC720" s="467"/>
    </row>
    <row r="721" spans="81:81" s="466" customFormat="1" hidden="1" x14ac:dyDescent="0.2">
      <c r="CC721" s="467"/>
    </row>
    <row r="722" spans="81:81" s="466" customFormat="1" hidden="1" x14ac:dyDescent="0.2">
      <c r="CC722" s="467"/>
    </row>
    <row r="723" spans="81:81" s="466" customFormat="1" hidden="1" x14ac:dyDescent="0.2">
      <c r="CC723" s="467"/>
    </row>
    <row r="724" spans="81:81" s="466" customFormat="1" hidden="1" x14ac:dyDescent="0.2">
      <c r="CC724" s="467"/>
    </row>
    <row r="725" spans="81:81" s="466" customFormat="1" hidden="1" x14ac:dyDescent="0.2">
      <c r="CC725" s="467"/>
    </row>
    <row r="726" spans="81:81" s="466" customFormat="1" hidden="1" x14ac:dyDescent="0.2">
      <c r="CC726" s="467"/>
    </row>
    <row r="727" spans="81:81" s="466" customFormat="1" hidden="1" x14ac:dyDescent="0.2">
      <c r="CC727" s="467"/>
    </row>
    <row r="728" spans="81:81" s="466" customFormat="1" hidden="1" x14ac:dyDescent="0.2">
      <c r="CC728" s="467"/>
    </row>
    <row r="729" spans="81:81" s="466" customFormat="1" hidden="1" x14ac:dyDescent="0.2">
      <c r="CC729" s="467"/>
    </row>
    <row r="730" spans="81:81" s="466" customFormat="1" hidden="1" x14ac:dyDescent="0.2">
      <c r="CC730" s="467"/>
    </row>
    <row r="731" spans="81:81" s="466" customFormat="1" hidden="1" x14ac:dyDescent="0.2">
      <c r="CC731" s="467"/>
    </row>
    <row r="732" spans="81:81" s="466" customFormat="1" hidden="1" x14ac:dyDescent="0.2">
      <c r="CC732" s="467"/>
    </row>
    <row r="733" spans="81:81" s="466" customFormat="1" hidden="1" x14ac:dyDescent="0.2">
      <c r="CC733" s="467"/>
    </row>
    <row r="734" spans="81:81" s="466" customFormat="1" hidden="1" x14ac:dyDescent="0.2">
      <c r="CC734" s="467"/>
    </row>
    <row r="735" spans="81:81" s="466" customFormat="1" hidden="1" x14ac:dyDescent="0.2">
      <c r="CC735" s="467"/>
    </row>
    <row r="736" spans="81:81" s="466" customFormat="1" hidden="1" x14ac:dyDescent="0.2">
      <c r="CC736" s="467"/>
    </row>
    <row r="737" spans="81:81" s="466" customFormat="1" hidden="1" x14ac:dyDescent="0.2">
      <c r="CC737" s="467"/>
    </row>
    <row r="738" spans="81:81" s="466" customFormat="1" hidden="1" x14ac:dyDescent="0.2">
      <c r="CC738" s="467"/>
    </row>
    <row r="739" spans="81:81" s="466" customFormat="1" hidden="1" x14ac:dyDescent="0.2">
      <c r="CC739" s="467"/>
    </row>
    <row r="740" spans="81:81" s="466" customFormat="1" hidden="1" x14ac:dyDescent="0.2">
      <c r="CC740" s="467"/>
    </row>
    <row r="741" spans="81:81" s="466" customFormat="1" hidden="1" x14ac:dyDescent="0.2">
      <c r="CC741" s="467"/>
    </row>
    <row r="742" spans="81:81" s="466" customFormat="1" hidden="1" x14ac:dyDescent="0.2">
      <c r="CC742" s="467"/>
    </row>
    <row r="743" spans="81:81" s="466" customFormat="1" hidden="1" x14ac:dyDescent="0.2">
      <c r="CC743" s="467"/>
    </row>
    <row r="744" spans="81:81" s="466" customFormat="1" hidden="1" x14ac:dyDescent="0.2">
      <c r="CC744" s="467"/>
    </row>
    <row r="745" spans="81:81" s="466" customFormat="1" hidden="1" x14ac:dyDescent="0.2">
      <c r="CC745" s="467"/>
    </row>
    <row r="746" spans="81:81" s="466" customFormat="1" hidden="1" x14ac:dyDescent="0.2">
      <c r="CC746" s="467"/>
    </row>
    <row r="747" spans="81:81" s="466" customFormat="1" hidden="1" x14ac:dyDescent="0.2">
      <c r="CC747" s="467"/>
    </row>
    <row r="748" spans="81:81" s="466" customFormat="1" hidden="1" x14ac:dyDescent="0.2">
      <c r="CC748" s="467"/>
    </row>
    <row r="749" spans="81:81" s="466" customFormat="1" hidden="1" x14ac:dyDescent="0.2">
      <c r="CC749" s="467"/>
    </row>
    <row r="750" spans="81:81" s="466" customFormat="1" hidden="1" x14ac:dyDescent="0.2">
      <c r="CC750" s="467"/>
    </row>
    <row r="751" spans="81:81" s="466" customFormat="1" hidden="1" x14ac:dyDescent="0.2">
      <c r="CC751" s="467"/>
    </row>
    <row r="752" spans="81:81" s="466" customFormat="1" hidden="1" x14ac:dyDescent="0.2">
      <c r="CC752" s="467"/>
    </row>
    <row r="753" spans="81:81" s="466" customFormat="1" hidden="1" x14ac:dyDescent="0.2">
      <c r="CC753" s="467"/>
    </row>
    <row r="754" spans="81:81" s="466" customFormat="1" hidden="1" x14ac:dyDescent="0.2">
      <c r="CC754" s="467"/>
    </row>
    <row r="755" spans="81:81" s="466" customFormat="1" hidden="1" x14ac:dyDescent="0.2">
      <c r="CC755" s="467"/>
    </row>
    <row r="756" spans="81:81" s="466" customFormat="1" hidden="1" x14ac:dyDescent="0.2">
      <c r="CC756" s="467"/>
    </row>
    <row r="757" spans="81:81" s="466" customFormat="1" hidden="1" x14ac:dyDescent="0.2">
      <c r="CC757" s="467"/>
    </row>
    <row r="758" spans="81:81" s="466" customFormat="1" hidden="1" x14ac:dyDescent="0.2">
      <c r="CC758" s="467"/>
    </row>
    <row r="759" spans="81:81" s="466" customFormat="1" hidden="1" x14ac:dyDescent="0.2">
      <c r="CC759" s="467"/>
    </row>
    <row r="760" spans="81:81" s="466" customFormat="1" hidden="1" x14ac:dyDescent="0.2">
      <c r="CC760" s="467"/>
    </row>
    <row r="761" spans="81:81" s="466" customFormat="1" hidden="1" x14ac:dyDescent="0.2">
      <c r="CC761" s="467"/>
    </row>
    <row r="762" spans="81:81" s="466" customFormat="1" hidden="1" x14ac:dyDescent="0.2">
      <c r="CC762" s="467"/>
    </row>
    <row r="763" spans="81:81" s="466" customFormat="1" hidden="1" x14ac:dyDescent="0.2">
      <c r="CC763" s="467"/>
    </row>
    <row r="764" spans="81:81" s="466" customFormat="1" hidden="1" x14ac:dyDescent="0.2">
      <c r="CC764" s="467"/>
    </row>
    <row r="765" spans="81:81" s="466" customFormat="1" hidden="1" x14ac:dyDescent="0.2">
      <c r="CC765" s="467"/>
    </row>
    <row r="766" spans="81:81" s="466" customFormat="1" hidden="1" x14ac:dyDescent="0.2">
      <c r="CC766" s="467"/>
    </row>
    <row r="767" spans="81:81" s="466" customFormat="1" hidden="1" x14ac:dyDescent="0.2">
      <c r="CC767" s="467"/>
    </row>
    <row r="768" spans="81:81" s="466" customFormat="1" hidden="1" x14ac:dyDescent="0.2">
      <c r="CC768" s="467"/>
    </row>
    <row r="769" spans="81:81" hidden="1" x14ac:dyDescent="0.2"/>
    <row r="770" spans="81:81" hidden="1" x14ac:dyDescent="0.2"/>
    <row r="771" spans="81:81" hidden="1" x14ac:dyDescent="0.2"/>
    <row r="772" spans="81:81" hidden="1" x14ac:dyDescent="0.2"/>
    <row r="773" spans="81:81" hidden="1" x14ac:dyDescent="0.2"/>
    <row r="774" spans="81:81" hidden="1" x14ac:dyDescent="0.2"/>
    <row r="775" spans="81:81" hidden="1" x14ac:dyDescent="0.2">
      <c r="CC775" s="384"/>
    </row>
    <row r="776" spans="81:81" hidden="1" x14ac:dyDescent="0.2">
      <c r="CC776" s="384"/>
    </row>
    <row r="777" spans="81:81" hidden="1" x14ac:dyDescent="0.2">
      <c r="CC777" s="384"/>
    </row>
    <row r="778" spans="81:81" hidden="1" x14ac:dyDescent="0.2">
      <c r="CC778" s="384"/>
    </row>
    <row r="779" spans="81:81" hidden="1" x14ac:dyDescent="0.2">
      <c r="CC779" s="384"/>
    </row>
    <row r="780" spans="81:81" hidden="1" x14ac:dyDescent="0.2">
      <c r="CC780" s="384"/>
    </row>
    <row r="781" spans="81:81" hidden="1" x14ac:dyDescent="0.2">
      <c r="CC781" s="384"/>
    </row>
    <row r="782" spans="81:81" hidden="1" x14ac:dyDescent="0.2">
      <c r="CC782" s="384"/>
    </row>
    <row r="783" spans="81:81" hidden="1" x14ac:dyDescent="0.2">
      <c r="CC783" s="384"/>
    </row>
    <row r="784" spans="81:81" hidden="1" x14ac:dyDescent="0.2">
      <c r="CC784" s="384"/>
    </row>
    <row r="785" hidden="1" x14ac:dyDescent="0.2"/>
    <row r="786" hidden="1" x14ac:dyDescent="0.2"/>
    <row r="787" hidden="1" x14ac:dyDescent="0.2"/>
    <row r="788" hidden="1" x14ac:dyDescent="0.2"/>
    <row r="789" x14ac:dyDescent="0.2"/>
    <row r="790" x14ac:dyDescent="0.2"/>
    <row r="791" x14ac:dyDescent="0.2"/>
  </sheetData>
  <mergeCells count="367">
    <mergeCell ref="H74:I74"/>
    <mergeCell ref="N76:P76"/>
    <mergeCell ref="J72:K72"/>
    <mergeCell ref="N68:P68"/>
    <mergeCell ref="F55:G55"/>
    <mergeCell ref="D39:D61"/>
    <mergeCell ref="F74:G74"/>
    <mergeCell ref="F72:G72"/>
    <mergeCell ref="M12:O12"/>
    <mergeCell ref="M14:O14"/>
    <mergeCell ref="M20:O20"/>
    <mergeCell ref="M22:O22"/>
    <mergeCell ref="M24:O24"/>
    <mergeCell ref="M26:O26"/>
    <mergeCell ref="M27:O27"/>
    <mergeCell ref="L46:M46"/>
    <mergeCell ref="N46:P46"/>
    <mergeCell ref="E19:G19"/>
    <mergeCell ref="F66:G66"/>
    <mergeCell ref="F40:G40"/>
    <mergeCell ref="F42:G42"/>
    <mergeCell ref="F46:G46"/>
    <mergeCell ref="L70:M70"/>
    <mergeCell ref="F48:G48"/>
    <mergeCell ref="I48:K48"/>
    <mergeCell ref="N60:P60"/>
    <mergeCell ref="N58:P58"/>
    <mergeCell ref="H68:I68"/>
    <mergeCell ref="J68:K68"/>
    <mergeCell ref="J64:K65"/>
    <mergeCell ref="H64:I65"/>
    <mergeCell ref="H72:I72"/>
    <mergeCell ref="L80:M80"/>
    <mergeCell ref="Q66:S66"/>
    <mergeCell ref="J66:K66"/>
    <mergeCell ref="L66:M66"/>
    <mergeCell ref="N66:P66"/>
    <mergeCell ref="L68:M68"/>
    <mergeCell ref="L60:M60"/>
    <mergeCell ref="Q70:S70"/>
    <mergeCell ref="H78:I78"/>
    <mergeCell ref="J78:K78"/>
    <mergeCell ref="L78:M78"/>
    <mergeCell ref="N78:P78"/>
    <mergeCell ref="Q68:S68"/>
    <mergeCell ref="Q72:S72"/>
    <mergeCell ref="L72:M72"/>
    <mergeCell ref="J74:K74"/>
    <mergeCell ref="L74:M74"/>
    <mergeCell ref="I52:K52"/>
    <mergeCell ref="Q182:R182"/>
    <mergeCell ref="O169:P169"/>
    <mergeCell ref="M168:N168"/>
    <mergeCell ref="O156:P156"/>
    <mergeCell ref="L76:M76"/>
    <mergeCell ref="M176:N176"/>
    <mergeCell ref="O171:P171"/>
    <mergeCell ref="L86:M86"/>
    <mergeCell ref="J86:K86"/>
    <mergeCell ref="J88:K88"/>
    <mergeCell ref="M117:P119"/>
    <mergeCell ref="D140:S142"/>
    <mergeCell ref="D105:G107"/>
    <mergeCell ref="D112:E116"/>
    <mergeCell ref="F76:G76"/>
    <mergeCell ref="J76:K76"/>
    <mergeCell ref="F80:G80"/>
    <mergeCell ref="Q178:R178"/>
    <mergeCell ref="O176:P176"/>
    <mergeCell ref="N80:P80"/>
    <mergeCell ref="N83:P83"/>
    <mergeCell ref="Q171:R171"/>
    <mergeCell ref="Q170:R170"/>
    <mergeCell ref="Q173:R173"/>
    <mergeCell ref="Q172:R172"/>
    <mergeCell ref="M177:N177"/>
    <mergeCell ref="Q168:R168"/>
    <mergeCell ref="Q166:R166"/>
    <mergeCell ref="O168:P168"/>
    <mergeCell ref="L94:M94"/>
    <mergeCell ref="O167:P167"/>
    <mergeCell ref="L81:M81"/>
    <mergeCell ref="N88:P88"/>
    <mergeCell ref="J135:L136"/>
    <mergeCell ref="Q165:R165"/>
    <mergeCell ref="Q157:R157"/>
    <mergeCell ref="Q163:R163"/>
    <mergeCell ref="Q156:R156"/>
    <mergeCell ref="Q158:R158"/>
    <mergeCell ref="Q160:R160"/>
    <mergeCell ref="M161:N161"/>
    <mergeCell ref="M163:N163"/>
    <mergeCell ref="O160:P160"/>
    <mergeCell ref="O164:P164"/>
    <mergeCell ref="M165:N165"/>
    <mergeCell ref="O165:P165"/>
    <mergeCell ref="M164:N164"/>
    <mergeCell ref="G153:G154"/>
    <mergeCell ref="O166:P166"/>
    <mergeCell ref="M166:N166"/>
    <mergeCell ref="M167:N167"/>
    <mergeCell ref="N94:P94"/>
    <mergeCell ref="M160:N160"/>
    <mergeCell ref="M158:N158"/>
    <mergeCell ref="I158:K158"/>
    <mergeCell ref="I159:K159"/>
    <mergeCell ref="J94:K94"/>
    <mergeCell ref="F94:I95"/>
    <mergeCell ref="I164:K164"/>
    <mergeCell ref="J95:K95"/>
    <mergeCell ref="I156:K156"/>
    <mergeCell ref="I161:K161"/>
    <mergeCell ref="I162:K162"/>
    <mergeCell ref="I160:K160"/>
    <mergeCell ref="I165:K165"/>
    <mergeCell ref="I166:K166"/>
    <mergeCell ref="M159:N159"/>
    <mergeCell ref="O151:P152"/>
    <mergeCell ref="Q195:R195"/>
    <mergeCell ref="Q193:R193"/>
    <mergeCell ref="Q194:R194"/>
    <mergeCell ref="Q189:R189"/>
    <mergeCell ref="Q184:R184"/>
    <mergeCell ref="Q175:R175"/>
    <mergeCell ref="Q185:R185"/>
    <mergeCell ref="Q176:R176"/>
    <mergeCell ref="Q162:R162"/>
    <mergeCell ref="Q167:R167"/>
    <mergeCell ref="Q164:R164"/>
    <mergeCell ref="Q192:R192"/>
    <mergeCell ref="Q181:R181"/>
    <mergeCell ref="Q180:R180"/>
    <mergeCell ref="Q190:R190"/>
    <mergeCell ref="Q179:R179"/>
    <mergeCell ref="Q191:R191"/>
    <mergeCell ref="Q188:R188"/>
    <mergeCell ref="Q186:R186"/>
    <mergeCell ref="Q187:R187"/>
    <mergeCell ref="Q177:R177"/>
    <mergeCell ref="Q183:R183"/>
    <mergeCell ref="Q174:R174"/>
    <mergeCell ref="Q169:R169"/>
    <mergeCell ref="O161:P161"/>
    <mergeCell ref="Q153:R154"/>
    <mergeCell ref="Q161:R161"/>
    <mergeCell ref="Q159:R159"/>
    <mergeCell ref="M157:N157"/>
    <mergeCell ref="CG89:CI89"/>
    <mergeCell ref="T93:T96"/>
    <mergeCell ref="R91:S91"/>
    <mergeCell ref="R94:S94"/>
    <mergeCell ref="R93:S93"/>
    <mergeCell ref="Q117:S119"/>
    <mergeCell ref="D135:E136"/>
    <mergeCell ref="I117:L119"/>
    <mergeCell ref="D117:E119"/>
    <mergeCell ref="K128:N130"/>
    <mergeCell ref="H135:I136"/>
    <mergeCell ref="K131:N132"/>
    <mergeCell ref="E91:E92"/>
    <mergeCell ref="D64:D96"/>
    <mergeCell ref="N64:P65"/>
    <mergeCell ref="F78:G78"/>
    <mergeCell ref="N70:P70"/>
    <mergeCell ref="J70:K70"/>
    <mergeCell ref="H70:I70"/>
    <mergeCell ref="F70:G70"/>
    <mergeCell ref="N86:P86"/>
    <mergeCell ref="H83:I83"/>
    <mergeCell ref="G100:N101"/>
    <mergeCell ref="F91:I91"/>
    <mergeCell ref="F83:G83"/>
    <mergeCell ref="H88:I88"/>
    <mergeCell ref="H81:I81"/>
    <mergeCell ref="L83:M83"/>
    <mergeCell ref="N74:P74"/>
    <mergeCell ref="N72:P72"/>
    <mergeCell ref="AA60:AC60"/>
    <mergeCell ref="G131:J132"/>
    <mergeCell ref="M112:P116"/>
    <mergeCell ref="Q112:S116"/>
    <mergeCell ref="G112:H116"/>
    <mergeCell ref="N92:P92"/>
    <mergeCell ref="J91:K92"/>
    <mergeCell ref="N91:P91"/>
    <mergeCell ref="I112:L116"/>
    <mergeCell ref="F88:G88"/>
    <mergeCell ref="G117:H119"/>
    <mergeCell ref="G128:J130"/>
    <mergeCell ref="Q88:S88"/>
    <mergeCell ref="Q86:R86"/>
    <mergeCell ref="L91:M92"/>
    <mergeCell ref="J83:K83"/>
    <mergeCell ref="H86:I86"/>
    <mergeCell ref="F86:G86"/>
    <mergeCell ref="H76:I76"/>
    <mergeCell ref="J80:K80"/>
    <mergeCell ref="N81:P81"/>
    <mergeCell ref="H80:I80"/>
    <mergeCell ref="L88:M88"/>
    <mergeCell ref="F92:I92"/>
    <mergeCell ref="AA55:AC55"/>
    <mergeCell ref="N42:P42"/>
    <mergeCell ref="N44:P44"/>
    <mergeCell ref="AA58:AC58"/>
    <mergeCell ref="N55:P55"/>
    <mergeCell ref="AA56:AB56"/>
    <mergeCell ref="AA44:AC44"/>
    <mergeCell ref="AA53:AB53"/>
    <mergeCell ref="N52:P52"/>
    <mergeCell ref="AA52:AC52"/>
    <mergeCell ref="N53:O53"/>
    <mergeCell ref="N56:O56"/>
    <mergeCell ref="N50:P50"/>
    <mergeCell ref="N48:P48"/>
    <mergeCell ref="C4:C14"/>
    <mergeCell ref="M6:O6"/>
    <mergeCell ref="M8:O8"/>
    <mergeCell ref="F64:G65"/>
    <mergeCell ref="F68:G68"/>
    <mergeCell ref="I53:K53"/>
    <mergeCell ref="F58:G58"/>
    <mergeCell ref="I56:K56"/>
    <mergeCell ref="L64:M65"/>
    <mergeCell ref="H66:I66"/>
    <mergeCell ref="L58:M58"/>
    <mergeCell ref="I58:K58"/>
    <mergeCell ref="M18:O18"/>
    <mergeCell ref="I31:J31"/>
    <mergeCell ref="F52:G52"/>
    <mergeCell ref="I55:K55"/>
    <mergeCell ref="L55:M55"/>
    <mergeCell ref="L52:M52"/>
    <mergeCell ref="F39:G39"/>
    <mergeCell ref="F32:F33"/>
    <mergeCell ref="I40:K40"/>
    <mergeCell ref="I44:K44"/>
    <mergeCell ref="I42:K42"/>
    <mergeCell ref="L44:M44"/>
    <mergeCell ref="BW15:BY18"/>
    <mergeCell ref="AA51:AB51"/>
    <mergeCell ref="N51:O51"/>
    <mergeCell ref="I39:K39"/>
    <mergeCell ref="AA39:AC39"/>
    <mergeCell ref="N39:P39"/>
    <mergeCell ref="M31:O31"/>
    <mergeCell ref="AA40:AC40"/>
    <mergeCell ref="N40:P40"/>
    <mergeCell ref="M28:O28"/>
    <mergeCell ref="T16:U16"/>
    <mergeCell ref="I46:K46"/>
    <mergeCell ref="G32:I33"/>
    <mergeCell ref="E18:G18"/>
    <mergeCell ref="AA42:AC42"/>
    <mergeCell ref="L39:M39"/>
    <mergeCell ref="F44:G44"/>
    <mergeCell ref="F50:G50"/>
    <mergeCell ref="I50:K50"/>
    <mergeCell ref="L50:M50"/>
    <mergeCell ref="L42:M42"/>
    <mergeCell ref="L40:M40"/>
    <mergeCell ref="I51:K51"/>
    <mergeCell ref="L48:M48"/>
    <mergeCell ref="I194:K194"/>
    <mergeCell ref="I189:K189"/>
    <mergeCell ref="L153:L154"/>
    <mergeCell ref="I177:K177"/>
    <mergeCell ref="I182:K182"/>
    <mergeCell ref="I178:K178"/>
    <mergeCell ref="I185:K185"/>
    <mergeCell ref="I180:K180"/>
    <mergeCell ref="I157:K157"/>
    <mergeCell ref="I153:K154"/>
    <mergeCell ref="I175:K175"/>
    <mergeCell ref="I183:K183"/>
    <mergeCell ref="I181:K181"/>
    <mergeCell ref="I176:K176"/>
    <mergeCell ref="I169:K169"/>
    <mergeCell ref="I171:K171"/>
    <mergeCell ref="I187:K187"/>
    <mergeCell ref="I184:K184"/>
    <mergeCell ref="I163:K163"/>
    <mergeCell ref="I167:K167"/>
    <mergeCell ref="I168:K168"/>
    <mergeCell ref="O184:P184"/>
    <mergeCell ref="O185:P185"/>
    <mergeCell ref="O182:P182"/>
    <mergeCell ref="O186:P186"/>
    <mergeCell ref="O183:P183"/>
    <mergeCell ref="H153:H154"/>
    <mergeCell ref="O179:P179"/>
    <mergeCell ref="O187:P187"/>
    <mergeCell ref="O158:P158"/>
    <mergeCell ref="O181:P181"/>
    <mergeCell ref="O157:P157"/>
    <mergeCell ref="O159:P159"/>
    <mergeCell ref="O177:P177"/>
    <mergeCell ref="O178:P178"/>
    <mergeCell ref="I179:K179"/>
    <mergeCell ref="O172:P172"/>
    <mergeCell ref="I170:K170"/>
    <mergeCell ref="I174:K174"/>
    <mergeCell ref="I172:K172"/>
    <mergeCell ref="I173:K173"/>
    <mergeCell ref="M174:N174"/>
    <mergeCell ref="M171:N171"/>
    <mergeCell ref="M156:N156"/>
    <mergeCell ref="M153:N154"/>
    <mergeCell ref="M195:N195"/>
    <mergeCell ref="O180:P180"/>
    <mergeCell ref="O162:P162"/>
    <mergeCell ref="O163:P163"/>
    <mergeCell ref="O195:P195"/>
    <mergeCell ref="O194:P194"/>
    <mergeCell ref="M190:N190"/>
    <mergeCell ref="O190:P190"/>
    <mergeCell ref="O188:P188"/>
    <mergeCell ref="O191:P191"/>
    <mergeCell ref="O193:P193"/>
    <mergeCell ref="O192:P192"/>
    <mergeCell ref="O189:P189"/>
    <mergeCell ref="O173:P173"/>
    <mergeCell ref="O175:P175"/>
    <mergeCell ref="M184:N184"/>
    <mergeCell ref="M185:N185"/>
    <mergeCell ref="M170:N170"/>
    <mergeCell ref="O174:P174"/>
    <mergeCell ref="O170:P170"/>
    <mergeCell ref="M194:N194"/>
    <mergeCell ref="M192:N192"/>
    <mergeCell ref="M191:N191"/>
    <mergeCell ref="M186:N186"/>
    <mergeCell ref="M208:N208"/>
    <mergeCell ref="M202:N202"/>
    <mergeCell ref="M203:N203"/>
    <mergeCell ref="M204:N204"/>
    <mergeCell ref="M205:N205"/>
    <mergeCell ref="M199:N199"/>
    <mergeCell ref="M201:N201"/>
    <mergeCell ref="M200:N200"/>
    <mergeCell ref="I186:K186"/>
    <mergeCell ref="I192:K192"/>
    <mergeCell ref="M193:N193"/>
    <mergeCell ref="I193:K193"/>
    <mergeCell ref="I191:K191"/>
    <mergeCell ref="M188:N188"/>
    <mergeCell ref="I188:K188"/>
    <mergeCell ref="I190:K190"/>
    <mergeCell ref="M189:N189"/>
    <mergeCell ref="I195:K195"/>
    <mergeCell ref="M207:N207"/>
    <mergeCell ref="M206:N206"/>
    <mergeCell ref="M197:N197"/>
    <mergeCell ref="M196:N196"/>
    <mergeCell ref="M198:N198"/>
    <mergeCell ref="M187:N187"/>
    <mergeCell ref="M183:N183"/>
    <mergeCell ref="M182:N182"/>
    <mergeCell ref="M181:N181"/>
    <mergeCell ref="M180:N180"/>
    <mergeCell ref="M179:N179"/>
    <mergeCell ref="M175:N175"/>
    <mergeCell ref="M173:N173"/>
    <mergeCell ref="M172:N172"/>
    <mergeCell ref="M162:N162"/>
    <mergeCell ref="M169:N169"/>
    <mergeCell ref="M178:N178"/>
  </mergeCells>
  <phoneticPr fontId="2" type="noConversion"/>
  <conditionalFormatting sqref="T28:U29 P29">
    <cfRule type="expression" dxfId="20" priority="42" stopIfTrue="1">
      <formula>NOT(ISERROR(SEARCH("ERRO",P28)))</formula>
    </cfRule>
  </conditionalFormatting>
  <conditionalFormatting sqref="Q66 Q70 G100 Q88 Q80:Q81 Q76:Q78 Q73:Q74">
    <cfRule type="cellIs" dxfId="19" priority="43" stopIfTrue="1" operator="equal">
      <formula>"OK"</formula>
    </cfRule>
  </conditionalFormatting>
  <conditionalFormatting sqref="Q88:R88 Q86:R86">
    <cfRule type="cellIs" dxfId="18" priority="45" stopIfTrue="1" operator="equal">
      <formula>"OK"</formula>
    </cfRule>
    <cfRule type="cellIs" dxfId="17" priority="46" stopIfTrue="1" operator="equal">
      <formula>""</formula>
    </cfRule>
  </conditionalFormatting>
  <conditionalFormatting sqref="F32:F33">
    <cfRule type="expression" dxfId="16" priority="54" stopIfTrue="1">
      <formula>$F$32&lt;&gt;"ok"</formula>
    </cfRule>
  </conditionalFormatting>
  <conditionalFormatting sqref="S88 S86">
    <cfRule type="cellIs" dxfId="15" priority="69" stopIfTrue="1" operator="equal">
      <formula>"Parc. Máx. Excedido"</formula>
    </cfRule>
  </conditionalFormatting>
  <conditionalFormatting sqref="F94">
    <cfRule type="containsText" dxfId="14" priority="30" stopIfTrue="1" operator="containsText" text="Pró- Soluto">
      <formula>NOT(ISERROR(SEARCH("Pró- Soluto",F94)))</formula>
    </cfRule>
  </conditionalFormatting>
  <conditionalFormatting sqref="F97:I97 F94">
    <cfRule type="cellIs" dxfId="13" priority="29" stopIfTrue="1" operator="equal">
      <formula>"Pró-Soluto acima do permitido"</formula>
    </cfRule>
  </conditionalFormatting>
  <conditionalFormatting sqref="Q73:Q74">
    <cfRule type="cellIs" dxfId="12" priority="16" stopIfTrue="1" operator="equal">
      <formula>"OK"</formula>
    </cfRule>
  </conditionalFormatting>
  <conditionalFormatting sqref="H4:N4">
    <cfRule type="containsText" dxfId="11" priority="14" operator="containsText" text="Para Renda Superior a R$ 5.500,00 utilizar Somente TABELA SAC">
      <formula>NOT(ISERROR(SEARCH("Para Renda Superior a R$ 5.500,00 utilizar Somente TABELA SAC",H4)))</formula>
    </cfRule>
  </conditionalFormatting>
  <conditionalFormatting sqref="G32">
    <cfRule type="cellIs" dxfId="10" priority="13" stopIfTrue="1" operator="equal">
      <formula>"cliente fora do PMCMV, mudar p/ SAC"</formula>
    </cfRule>
  </conditionalFormatting>
  <conditionalFormatting sqref="M34">
    <cfRule type="containsText" dxfId="9" priority="11" stopIfTrue="1" operator="containsText" text="Price">
      <formula>NOT(ISERROR(SEARCH("Price",M34)))</formula>
    </cfRule>
    <cfRule type="cellIs" dxfId="8" priority="12" stopIfTrue="1" operator="equal">
      <formula>"Price - Financia Somente em 240 meses"</formula>
    </cfRule>
  </conditionalFormatting>
  <conditionalFormatting sqref="E33 M34 J33:L33">
    <cfRule type="containsText" dxfId="7" priority="10" stopIfTrue="1" operator="containsText" text="Renda até R$ 5.000,00 Price - Financia Até 360 meses - Superior à R$ 5.000,00 somente em 240 meses">
      <formula>NOT(ISERROR(SEARCH("Renda até R$ 5.000,00 Price - Financia Até 360 meses - Superior à R$ 5.000,00 somente em 240 meses",E33)))</formula>
    </cfRule>
  </conditionalFormatting>
  <conditionalFormatting sqref="H3">
    <cfRule type="expression" dxfId="6" priority="27">
      <formula>$H$3="TABELA PRICE"</formula>
    </cfRule>
    <cfRule type="expression" dxfId="5" priority="28">
      <formula>$H$3="TABELA SAC"</formula>
    </cfRule>
  </conditionalFormatting>
  <conditionalFormatting sqref="R94:R95">
    <cfRule type="expression" dxfId="4" priority="101" stopIfTrue="1">
      <formula>#REF!&lt;&gt;M8</formula>
    </cfRule>
  </conditionalFormatting>
  <conditionalFormatting sqref="G156:G195">
    <cfRule type="cellIs" dxfId="3" priority="102" stopIfTrue="1" operator="equal">
      <formula>#REF!</formula>
    </cfRule>
  </conditionalFormatting>
  <dataValidations xWindow="959" yWindow="432" count="25">
    <dataValidation type="list" allowBlank="1" showInputMessage="1" showErrorMessage="1" sqref="E81 E88 E83 E86 E52 E55 E77">
      <formula1>$BK$37:$BK$51</formula1>
    </dataValidation>
    <dataValidation allowBlank="1" showInputMessage="1" showErrorMessage="1" error="Opção Inválida!" sqref="F31"/>
    <dataValidation type="list" allowBlank="1" showInputMessage="1" showErrorMessage="1" error="Seleção Inválida!" sqref="R92">
      <formula1>$Z$76:$Z$79</formula1>
    </dataValidation>
    <dataValidation type="list" allowBlank="1" showInputMessage="1" showErrorMessage="1" sqref="E73">
      <formula1>$BK$37:$BK$52</formula1>
    </dataValidation>
    <dataValidation type="custom" operator="lessThanOrEqual" allowBlank="1" showInputMessage="1" showErrorMessage="1" errorTitle="Parcelas Anuais" error="A última parcela anual não deve ultrapassar Maio/2022." promptTitle="Parcelas Anuais" prompt="A última parcela anual não deve ultrapassar Maio/2022." sqref="F83:G83">
      <formula1>AL90="ok"</formula1>
    </dataValidation>
    <dataValidation type="whole" operator="lessThanOrEqual" allowBlank="1" showErrorMessage="1" promptTitle="Parcelas Mensais" prompt="A quantidade de parcelas mensais não pode ultrapassar de _x000a_" sqref="F80:G81">
      <formula1>E96</formula1>
    </dataValidation>
    <dataValidation type="whole" operator="lessThan" allowBlank="1" showInputMessage="1" showErrorMessage="1" sqref="J81:K81">
      <formula1>5</formula1>
    </dataValidation>
    <dataValidation type="whole" operator="greaterThanOrEqual" allowBlank="1" showInputMessage="1" showErrorMessage="1" sqref="E23">
      <formula1>0</formula1>
    </dataValidation>
    <dataValidation allowBlank="1" showInputMessage="1" showErrorMessage="1" prompt="No caso de apenas 1 comprador, verificar se o cliente possui dependente comprovado. Se sim, preencher como 2 proponentes para aumento do subsídio." sqref="D21:D22"/>
    <dataValidation errorStyle="warning" allowBlank="1" showInputMessage="1" error="Prazo excedido!" sqref="D24 L25:L26 M26 K25:K27 M25:O25 I30:J30 T30:X31 P30:P32"/>
    <dataValidation type="list" allowBlank="1" showInputMessage="1" showErrorMessage="1" sqref="E22 E24">
      <formula1>INDIRECT("APOIO!H1:H2")</formula1>
    </dataValidation>
    <dataValidation type="whole" operator="lessThanOrEqual" allowBlank="1" showInputMessage="1" showErrorMessage="1" sqref="J80:K80">
      <formula1>6</formula1>
    </dataValidation>
    <dataValidation allowBlank="1" showInputMessage="1" showErrorMessage="1" promptTitle="Parcelas + ITBI/Registro" prompt="Pró soluto + ITBI e Registro " sqref="N81:P81"/>
    <dataValidation type="whole" operator="lessThanOrEqual" allowBlank="1" showInputMessage="1" showErrorMessage="1" sqref="F74:G74">
      <formula1>2</formula1>
    </dataValidation>
    <dataValidation type="list" allowBlank="1" showInputMessage="1" showErrorMessage="1" sqref="E22 E24">
      <formula1>#REF!</formula1>
    </dataValidation>
    <dataValidation allowBlank="1" showInputMessage="1" showErrorMessage="1" error="CADASTRAR EMPREENDIMENTO EM &quot;DADOS DOS EMPREENDIMENTOS&quot;" sqref="H6:L6"/>
    <dataValidation allowBlank="1" showInputMessage="1" showErrorMessage="1" promptTitle="Parcelas com ITBI e Registro" prompt="Parcelas com ITBI e Registro inseridos." sqref="H81:I81"/>
    <dataValidation type="decimal" operator="lessThanOrEqual" allowBlank="1" showErrorMessage="1" error="Valor superior ao permitido." sqref="P92">
      <formula1>P28</formula1>
    </dataValidation>
    <dataValidation type="decimal" operator="lessThanOrEqual" allowBlank="1" showErrorMessage="1" error="Valor superior ao permitido." sqref="O92">
      <formula1>O22</formula1>
    </dataValidation>
    <dataValidation type="decimal" operator="lessThanOrEqual" allowBlank="1" showErrorMessage="1" error="Valor superior ao permitido." sqref="N92">
      <formula1>M22</formula1>
    </dataValidation>
    <dataValidation type="list" errorStyle="warning" allowBlank="1" showInputMessage="1" error="Prazo excedido!" sqref="E25">
      <formula1>$CC$90:$CC$95</formula1>
    </dataValidation>
    <dataValidation type="whole" allowBlank="1" showInputMessage="1" showErrorMessage="1" sqref="E21">
      <formula1>1</formula1>
      <formula2>4</formula2>
    </dataValidation>
    <dataValidation type="custom" allowBlank="1" showInputMessage="1" showErrorMessage="1" errorTitle="Parcelas Anuais" error="A última parcela anual não deve ultrapassar Fev/2022." promptTitle="Parcelas Anuais" prompt="A última parcela anual não deve ultrapassar Fev/2022." sqref="L83:M83">
      <formula1>AL90="ok"</formula1>
    </dataValidation>
    <dataValidation type="list" allowBlank="1" showInputMessage="1" showErrorMessage="1" error="CADASTRA EMPRESA DE VENDAS" sqref="M12">
      <formula1>#REF!</formula1>
    </dataValidation>
    <dataValidation allowBlank="1" showInputMessage="1" showErrorMessage="1" promptTitle="Aprovação Pendente" sqref="J95:K95"/>
  </dataValidations>
  <printOptions horizontalCentered="1" verticalCentered="1"/>
  <pageMargins left="0.64" right="0.51181102362204722" top="0.35" bottom="0.28000000000000003" header="0.31496062992125984" footer="0.31496062992125984"/>
  <pageSetup paperSize="9" scale="24" orientation="portrait" r:id="rId1"/>
  <headerFooter alignWithMargins="0"/>
  <cellWatches>
    <cellWatch r="F20"/>
  </cellWatches>
  <ignoredErrors>
    <ignoredError sqref="H10 M1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959" yWindow="432" count="2">
        <x14:dataValidation type="list" allowBlank="1" showInputMessage="1" showErrorMessage="1">
          <x14:formula1>
            <xm:f>Apoio!$C$9:$C$196</xm:f>
          </x14:formula1>
          <xm:sqref>H8</xm:sqref>
        </x14:dataValidation>
        <x14:dataValidation type="list" allowBlank="1" showInputMessage="1" showErrorMessage="1">
          <x14:formula1>
            <xm:f>Apoio!$L$2:$L$3</xm:f>
          </x14:formula1>
          <xm:sqref>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tabColor rgb="FF00B050"/>
  </sheetPr>
  <dimension ref="B1:L197"/>
  <sheetViews>
    <sheetView showGridLines="0" zoomScale="70" zoomScaleNormal="70" workbookViewId="0">
      <selection activeCell="D11" sqref="D11"/>
    </sheetView>
  </sheetViews>
  <sheetFormatPr defaultRowHeight="12.75" x14ac:dyDescent="0.2"/>
  <cols>
    <col min="1" max="1" width="2" style="4" customWidth="1"/>
    <col min="2" max="2" width="20.42578125" style="4" customWidth="1"/>
    <col min="3" max="3" width="60.5703125" style="12" customWidth="1"/>
    <col min="4" max="4" width="23.28515625" style="12" customWidth="1"/>
    <col min="5" max="5" width="19.140625" style="4" customWidth="1"/>
    <col min="6" max="6" width="18.42578125" style="678" customWidth="1"/>
    <col min="7" max="7" width="18.140625" style="4" customWidth="1"/>
    <col min="8" max="8" width="16.85546875" style="4" customWidth="1"/>
    <col min="9" max="9" width="16.42578125" style="4" customWidth="1"/>
    <col min="10" max="10" width="17.140625" style="4" bestFit="1" customWidth="1"/>
    <col min="11" max="11" width="10.28515625" style="4" bestFit="1" customWidth="1"/>
    <col min="12" max="12" width="15.7109375" style="4" bestFit="1" customWidth="1"/>
    <col min="13" max="16384" width="9.140625" style="4"/>
  </cols>
  <sheetData>
    <row r="1" spans="2:12" x14ac:dyDescent="0.2">
      <c r="B1" s="863" t="s">
        <v>126</v>
      </c>
      <c r="C1" s="863"/>
      <c r="D1" s="863"/>
      <c r="E1" s="863"/>
      <c r="H1" s="345" t="s">
        <v>164</v>
      </c>
      <c r="I1" s="345" t="s">
        <v>351</v>
      </c>
      <c r="J1" s="345">
        <f>1*1.0046</f>
        <v>1.0045999999999999</v>
      </c>
    </row>
    <row r="2" spans="2:12" s="5" customFormat="1" ht="16.5" customHeight="1" x14ac:dyDescent="0.2">
      <c r="B2" s="50" t="s">
        <v>118</v>
      </c>
      <c r="C2" s="15"/>
      <c r="D2" s="15">
        <f>VLOOKUP('Simulador CEF'!H6,'DADOS DOS EMPREENDIMENTOS'!B10:C23,2,FALSE)</f>
        <v>3</v>
      </c>
      <c r="E2" s="51"/>
      <c r="F2" s="679"/>
      <c r="H2" s="346" t="s">
        <v>163</v>
      </c>
      <c r="J2" s="657">
        <v>1</v>
      </c>
      <c r="L2" s="346" t="s">
        <v>209</v>
      </c>
    </row>
    <row r="3" spans="2:12" s="5" customFormat="1" ht="17.25" customHeight="1" x14ac:dyDescent="0.2">
      <c r="B3" s="29" t="s">
        <v>90</v>
      </c>
      <c r="C3" s="15"/>
      <c r="D3" s="864">
        <f>VLOOKUP(D2,'DADOS DOS EMPREENDIMENTOS'!A10:B23,2,FALSE)</f>
        <v>0</v>
      </c>
      <c r="E3" s="865"/>
      <c r="F3" s="679"/>
      <c r="L3" s="346" t="s">
        <v>378</v>
      </c>
    </row>
    <row r="4" spans="2:12" s="5" customFormat="1" ht="21.75" customHeight="1" x14ac:dyDescent="0.2">
      <c r="B4" s="50" t="s">
        <v>131</v>
      </c>
      <c r="C4" s="15"/>
      <c r="D4" s="27"/>
      <c r="E4" s="52">
        <v>240000</v>
      </c>
      <c r="F4" s="679"/>
    </row>
    <row r="5" spans="2:12" s="5" customFormat="1" x14ac:dyDescent="0.2">
      <c r="B5" s="863" t="s">
        <v>127</v>
      </c>
      <c r="C5" s="863"/>
      <c r="D5" s="863"/>
      <c r="E5" s="863"/>
      <c r="F5" s="679"/>
    </row>
    <row r="6" spans="2:12" s="5" customFormat="1" x14ac:dyDescent="0.2">
      <c r="B6" s="866"/>
      <c r="C6" s="53" t="s">
        <v>114</v>
      </c>
      <c r="D6" s="54" t="s">
        <v>124</v>
      </c>
      <c r="E6" s="54" t="s">
        <v>125</v>
      </c>
      <c r="F6" s="679"/>
    </row>
    <row r="7" spans="2:12" s="55" customFormat="1" x14ac:dyDescent="0.2">
      <c r="B7" s="867"/>
      <c r="C7" s="15">
        <f>VLOOKUP($D$2,'DADOS DOS EMPREENDIMENTOS'!$C$10:$H$23,4,FALSE)</f>
        <v>12</v>
      </c>
      <c r="D7" s="15">
        <f>VLOOKUP($D$2,'DADOS DOS EMPREENDIMENTOS'!$C$10:$H$23,5,FALSE)</f>
        <v>13</v>
      </c>
      <c r="E7" s="15">
        <f>VLOOKUP($D$2,'DADOS DOS EMPREENDIMENTOS'!$C$10:$H$23,6,FALSE)</f>
        <v>14</v>
      </c>
      <c r="F7" s="680">
        <f>VLOOKUP($D$2,'DADOS DOS EMPREENDIMENTOS'!$C$10:$N$23,12,FALSE)</f>
        <v>15</v>
      </c>
    </row>
    <row r="8" spans="2:12" ht="24" customHeight="1" x14ac:dyDescent="0.2">
      <c r="B8" s="868"/>
      <c r="C8" s="15" t="s">
        <v>113</v>
      </c>
      <c r="D8" s="15" t="s">
        <v>17</v>
      </c>
      <c r="E8" s="15" t="s">
        <v>16</v>
      </c>
      <c r="F8" s="680" t="s">
        <v>210</v>
      </c>
      <c r="G8" s="15" t="s">
        <v>352</v>
      </c>
      <c r="H8" s="346" t="s">
        <v>405</v>
      </c>
      <c r="I8" s="348">
        <v>248795</v>
      </c>
      <c r="J8" s="348">
        <v>248975</v>
      </c>
    </row>
    <row r="9" spans="2:12" ht="15" thickBot="1" x14ac:dyDescent="0.25">
      <c r="B9" s="16"/>
      <c r="C9" s="658" t="s">
        <v>223</v>
      </c>
      <c r="D9" s="343">
        <f>ROUND(J9*$J$1,1)</f>
        <v>203091</v>
      </c>
      <c r="E9" s="659">
        <v>216000</v>
      </c>
      <c r="F9" s="681">
        <v>0.13</v>
      </c>
      <c r="G9" s="343">
        <v>213000</v>
      </c>
      <c r="H9" s="635">
        <f>D9</f>
        <v>203091</v>
      </c>
      <c r="J9" s="961">
        <v>202161.08265529829</v>
      </c>
    </row>
    <row r="10" spans="2:12" ht="15" thickBot="1" x14ac:dyDescent="0.25">
      <c r="B10" s="16"/>
      <c r="C10" s="341" t="s">
        <v>224</v>
      </c>
      <c r="D10" s="343">
        <f>ROUND(J10*$J$1,1)</f>
        <v>203103.2</v>
      </c>
      <c r="E10" s="652">
        <v>215000</v>
      </c>
      <c r="F10" s="681">
        <v>0.13</v>
      </c>
      <c r="G10" s="343">
        <v>213000</v>
      </c>
      <c r="H10" s="635">
        <f t="shared" ref="H10:H71" si="0">D10</f>
        <v>203103.2</v>
      </c>
      <c r="J10" s="961">
        <v>202173.20683579479</v>
      </c>
    </row>
    <row r="11" spans="2:12" ht="15" thickBot="1" x14ac:dyDescent="0.25">
      <c r="B11" s="16"/>
      <c r="C11" s="341" t="s">
        <v>225</v>
      </c>
      <c r="D11" s="343">
        <f t="shared" ref="D11:D74" si="1">ROUND(J11*$J$1,1)</f>
        <v>203103.2</v>
      </c>
      <c r="E11" s="652">
        <v>215000</v>
      </c>
      <c r="F11" s="681">
        <v>0.13</v>
      </c>
      <c r="G11" s="343">
        <v>213000</v>
      </c>
      <c r="H11" s="635">
        <f t="shared" si="0"/>
        <v>203103.2</v>
      </c>
      <c r="J11" s="961">
        <v>202173.20683579479</v>
      </c>
    </row>
    <row r="12" spans="2:12" ht="15" thickBot="1" x14ac:dyDescent="0.25">
      <c r="B12" s="16"/>
      <c r="C12" s="341" t="s">
        <v>226</v>
      </c>
      <c r="D12" s="343">
        <f t="shared" si="1"/>
        <v>200770.3</v>
      </c>
      <c r="E12" s="652">
        <v>216000</v>
      </c>
      <c r="F12" s="681">
        <v>0.13</v>
      </c>
      <c r="G12" s="343">
        <v>213000</v>
      </c>
      <c r="H12" s="635">
        <f t="shared" si="0"/>
        <v>200770.3</v>
      </c>
      <c r="J12" s="961">
        <v>199851.022131365</v>
      </c>
    </row>
    <row r="13" spans="2:12" ht="15" thickBot="1" x14ac:dyDescent="0.25">
      <c r="B13" s="16"/>
      <c r="C13" s="341" t="s">
        <v>227</v>
      </c>
      <c r="D13" s="343">
        <f t="shared" si="1"/>
        <v>201255.1</v>
      </c>
      <c r="E13" s="652">
        <v>216000</v>
      </c>
      <c r="F13" s="681">
        <v>0.13</v>
      </c>
      <c r="G13" s="343">
        <v>213000</v>
      </c>
      <c r="H13" s="635">
        <f t="shared" si="0"/>
        <v>201255.1</v>
      </c>
      <c r="J13" s="961">
        <v>200333.56451512573</v>
      </c>
    </row>
    <row r="14" spans="2:12" ht="15" thickBot="1" x14ac:dyDescent="0.25">
      <c r="B14" s="16"/>
      <c r="C14" s="341" t="s">
        <v>228</v>
      </c>
      <c r="D14" s="343">
        <f t="shared" si="1"/>
        <v>201255.1</v>
      </c>
      <c r="E14" s="652">
        <v>216000</v>
      </c>
      <c r="F14" s="681">
        <v>0.13</v>
      </c>
      <c r="G14" s="343">
        <v>213000</v>
      </c>
      <c r="H14" s="635">
        <f t="shared" si="0"/>
        <v>201255.1</v>
      </c>
      <c r="J14" s="961">
        <v>200333.56451512573</v>
      </c>
    </row>
    <row r="15" spans="2:12" ht="15" thickBot="1" x14ac:dyDescent="0.25">
      <c r="B15" s="16"/>
      <c r="C15" s="341" t="s">
        <v>353</v>
      </c>
      <c r="D15" s="343">
        <f t="shared" si="1"/>
        <v>200770.3</v>
      </c>
      <c r="E15" s="652">
        <v>216000</v>
      </c>
      <c r="F15" s="681">
        <v>0.13</v>
      </c>
      <c r="G15" s="343">
        <v>213000</v>
      </c>
      <c r="H15" s="635">
        <f t="shared" si="0"/>
        <v>200770.3</v>
      </c>
      <c r="J15" s="961">
        <v>199851.022131365</v>
      </c>
    </row>
    <row r="16" spans="2:12" ht="15" thickBot="1" x14ac:dyDescent="0.25">
      <c r="B16" s="16"/>
      <c r="C16" s="341" t="s">
        <v>407</v>
      </c>
      <c r="D16" s="343">
        <f t="shared" si="1"/>
        <v>215989</v>
      </c>
      <c r="E16" s="652">
        <v>221000</v>
      </c>
      <c r="F16" s="681">
        <v>0.15</v>
      </c>
      <c r="G16" s="343">
        <v>215000</v>
      </c>
      <c r="H16" s="635">
        <f t="shared" si="0"/>
        <v>215989</v>
      </c>
      <c r="J16" s="961">
        <v>215000</v>
      </c>
    </row>
    <row r="17" spans="2:10" ht="15" thickBot="1" x14ac:dyDescent="0.25">
      <c r="B17" s="16"/>
      <c r="C17" s="341" t="s">
        <v>408</v>
      </c>
      <c r="D17" s="343">
        <f t="shared" si="1"/>
        <v>215989</v>
      </c>
      <c r="E17" s="652">
        <v>221000</v>
      </c>
      <c r="F17" s="681">
        <v>0.15</v>
      </c>
      <c r="G17" s="343">
        <v>215000</v>
      </c>
      <c r="H17" s="635">
        <f t="shared" si="0"/>
        <v>215989</v>
      </c>
      <c r="J17" s="961">
        <v>215000</v>
      </c>
    </row>
    <row r="18" spans="2:10" ht="15" thickBot="1" x14ac:dyDescent="0.25">
      <c r="B18" s="16"/>
      <c r="C18" s="341" t="s">
        <v>409</v>
      </c>
      <c r="D18" s="343">
        <f t="shared" si="1"/>
        <v>203091</v>
      </c>
      <c r="E18" s="652">
        <v>216000</v>
      </c>
      <c r="F18" s="681">
        <v>0.13</v>
      </c>
      <c r="G18" s="343">
        <v>213000</v>
      </c>
      <c r="H18" s="635">
        <f t="shared" si="0"/>
        <v>203091</v>
      </c>
      <c r="J18" s="961">
        <v>202161.08265529829</v>
      </c>
    </row>
    <row r="19" spans="2:10" ht="15" thickBot="1" x14ac:dyDescent="0.25">
      <c r="B19" s="16"/>
      <c r="C19" s="341" t="s">
        <v>229</v>
      </c>
      <c r="D19" s="343">
        <f t="shared" si="1"/>
        <v>210304.3</v>
      </c>
      <c r="E19" s="652">
        <v>216000</v>
      </c>
      <c r="F19" s="681">
        <v>0.13</v>
      </c>
      <c r="G19" s="343">
        <v>213000</v>
      </c>
      <c r="H19" s="635">
        <f t="shared" si="0"/>
        <v>210304.3</v>
      </c>
      <c r="J19" s="961">
        <v>209341.32232504978</v>
      </c>
    </row>
    <row r="20" spans="2:10" ht="15" thickBot="1" x14ac:dyDescent="0.25">
      <c r="B20" s="16"/>
      <c r="C20" s="341" t="s">
        <v>230</v>
      </c>
      <c r="D20" s="343">
        <f t="shared" si="1"/>
        <v>210316.79999999999</v>
      </c>
      <c r="E20" s="652">
        <v>215000</v>
      </c>
      <c r="F20" s="681">
        <v>0.13</v>
      </c>
      <c r="G20" s="343">
        <v>213000</v>
      </c>
      <c r="H20" s="635">
        <f t="shared" si="0"/>
        <v>210316.79999999999</v>
      </c>
      <c r="J20" s="961">
        <v>209353.82148020083</v>
      </c>
    </row>
    <row r="21" spans="2:10" ht="15" thickBot="1" x14ac:dyDescent="0.25">
      <c r="B21" s="16"/>
      <c r="C21" s="341" t="s">
        <v>231</v>
      </c>
      <c r="D21" s="343">
        <f t="shared" si="1"/>
        <v>210316.79999999999</v>
      </c>
      <c r="E21" s="652">
        <v>215000</v>
      </c>
      <c r="F21" s="681">
        <v>0.13</v>
      </c>
      <c r="G21" s="343">
        <v>213000</v>
      </c>
      <c r="H21" s="635">
        <f t="shared" si="0"/>
        <v>210316.79999999999</v>
      </c>
      <c r="J21" s="961">
        <v>209353.82148020083</v>
      </c>
    </row>
    <row r="22" spans="2:10" ht="15" thickBot="1" x14ac:dyDescent="0.25">
      <c r="B22" s="16"/>
      <c r="C22" s="341" t="s">
        <v>232</v>
      </c>
      <c r="D22" s="343">
        <f t="shared" si="1"/>
        <v>207911.8</v>
      </c>
      <c r="E22" s="652">
        <v>216000</v>
      </c>
      <c r="F22" s="681">
        <v>0.13</v>
      </c>
      <c r="G22" s="343">
        <v>213000</v>
      </c>
      <c r="H22" s="635">
        <f t="shared" si="0"/>
        <v>207911.8</v>
      </c>
      <c r="J22" s="961">
        <v>206959.81663027318</v>
      </c>
    </row>
    <row r="23" spans="2:10" ht="15" thickBot="1" x14ac:dyDescent="0.25">
      <c r="B23" s="16"/>
      <c r="C23" s="341" t="s">
        <v>233</v>
      </c>
      <c r="D23" s="343">
        <f t="shared" si="1"/>
        <v>208411.6</v>
      </c>
      <c r="E23" s="652">
        <v>216000</v>
      </c>
      <c r="F23" s="681">
        <v>0.13</v>
      </c>
      <c r="G23" s="343">
        <v>213000</v>
      </c>
      <c r="H23" s="635">
        <f t="shared" si="0"/>
        <v>208411.6</v>
      </c>
      <c r="J23" s="961">
        <v>207457.28300528429</v>
      </c>
    </row>
    <row r="24" spans="2:10" ht="15" thickBot="1" x14ac:dyDescent="0.25">
      <c r="B24" s="16"/>
      <c r="C24" s="341" t="s">
        <v>234</v>
      </c>
      <c r="D24" s="343">
        <f t="shared" si="1"/>
        <v>208411.6</v>
      </c>
      <c r="E24" s="652">
        <v>216000</v>
      </c>
      <c r="F24" s="681">
        <v>0.13</v>
      </c>
      <c r="G24" s="343">
        <v>213000</v>
      </c>
      <c r="H24" s="635">
        <f t="shared" si="0"/>
        <v>208411.6</v>
      </c>
      <c r="J24" s="961">
        <v>207457.28300528429</v>
      </c>
    </row>
    <row r="25" spans="2:10" ht="15" thickBot="1" x14ac:dyDescent="0.25">
      <c r="B25" s="16"/>
      <c r="C25" s="341" t="s">
        <v>235</v>
      </c>
      <c r="D25" s="343">
        <f t="shared" si="1"/>
        <v>207911.8</v>
      </c>
      <c r="E25" s="652">
        <v>216000</v>
      </c>
      <c r="F25" s="681">
        <v>0.13</v>
      </c>
      <c r="G25" s="343">
        <v>213000</v>
      </c>
      <c r="H25" s="635">
        <f t="shared" si="0"/>
        <v>207911.8</v>
      </c>
      <c r="J25" s="961">
        <v>206959.81663027318</v>
      </c>
    </row>
    <row r="26" spans="2:10" ht="15" thickBot="1" x14ac:dyDescent="0.25">
      <c r="B26" s="16"/>
      <c r="C26" s="341" t="s">
        <v>236</v>
      </c>
      <c r="D26" s="343">
        <f t="shared" si="1"/>
        <v>205555.4</v>
      </c>
      <c r="E26" s="652">
        <v>215000</v>
      </c>
      <c r="F26" s="681">
        <v>0.13</v>
      </c>
      <c r="G26" s="343">
        <v>213000</v>
      </c>
      <c r="H26" s="635">
        <f t="shared" si="0"/>
        <v>205555.4</v>
      </c>
      <c r="J26" s="961">
        <v>204614.14184692953</v>
      </c>
    </row>
    <row r="27" spans="2:10" ht="15" thickBot="1" x14ac:dyDescent="0.25">
      <c r="B27" s="16"/>
      <c r="C27" s="341" t="s">
        <v>410</v>
      </c>
      <c r="D27" s="343">
        <f t="shared" si="1"/>
        <v>205555.4</v>
      </c>
      <c r="E27" s="652">
        <v>215000</v>
      </c>
      <c r="F27" s="681">
        <v>0.13</v>
      </c>
      <c r="G27" s="343">
        <v>213000</v>
      </c>
      <c r="H27" s="635">
        <f t="shared" si="0"/>
        <v>205555.4</v>
      </c>
      <c r="J27" s="961">
        <v>204614.14184692953</v>
      </c>
    </row>
    <row r="28" spans="2:10" ht="15" thickBot="1" x14ac:dyDescent="0.25">
      <c r="B28" s="16"/>
      <c r="C28" s="341" t="s">
        <v>411</v>
      </c>
      <c r="D28" s="343">
        <f t="shared" si="1"/>
        <v>210304.3</v>
      </c>
      <c r="E28" s="652">
        <v>216000</v>
      </c>
      <c r="F28" s="681">
        <v>0.13</v>
      </c>
      <c r="G28" s="343">
        <v>213000</v>
      </c>
      <c r="H28" s="635">
        <f t="shared" si="0"/>
        <v>210304.3</v>
      </c>
      <c r="J28" s="961">
        <v>209341.32232504978</v>
      </c>
    </row>
    <row r="29" spans="2:10" ht="15" thickBot="1" x14ac:dyDescent="0.25">
      <c r="B29" s="16"/>
      <c r="C29" s="341" t="s">
        <v>412</v>
      </c>
      <c r="D29" s="343">
        <f t="shared" si="1"/>
        <v>210809.1</v>
      </c>
      <c r="E29" s="652">
        <v>216000</v>
      </c>
      <c r="F29" s="681">
        <v>0.13</v>
      </c>
      <c r="G29" s="343">
        <v>213000</v>
      </c>
      <c r="H29" s="635">
        <f t="shared" si="0"/>
        <v>210809.1</v>
      </c>
      <c r="J29" s="961">
        <v>209843.7883621213</v>
      </c>
    </row>
    <row r="30" spans="2:10" ht="15" thickBot="1" x14ac:dyDescent="0.25">
      <c r="B30" s="16"/>
      <c r="C30" s="341" t="s">
        <v>413</v>
      </c>
      <c r="D30" s="343">
        <f t="shared" si="1"/>
        <v>207212.79999999999</v>
      </c>
      <c r="E30" s="652">
        <v>216000</v>
      </c>
      <c r="F30" s="681">
        <v>0.13</v>
      </c>
      <c r="G30" s="343">
        <v>213000</v>
      </c>
      <c r="H30" s="635">
        <f t="shared" si="0"/>
        <v>207212.79999999999</v>
      </c>
      <c r="J30" s="961">
        <v>206264.03032686576</v>
      </c>
    </row>
    <row r="31" spans="2:10" ht="15" thickBot="1" x14ac:dyDescent="0.25">
      <c r="B31" s="16"/>
      <c r="C31" s="341" t="s">
        <v>237</v>
      </c>
      <c r="D31" s="343">
        <f t="shared" si="1"/>
        <v>210304.3</v>
      </c>
      <c r="E31" s="652">
        <v>216000</v>
      </c>
      <c r="F31" s="681">
        <v>0.13</v>
      </c>
      <c r="G31" s="343">
        <v>213000</v>
      </c>
      <c r="H31" s="635">
        <f t="shared" si="0"/>
        <v>210304.3</v>
      </c>
      <c r="J31" s="961">
        <v>209341.32232504978</v>
      </c>
    </row>
    <row r="32" spans="2:10" ht="15" thickBot="1" x14ac:dyDescent="0.25">
      <c r="B32" s="16"/>
      <c r="C32" s="341" t="s">
        <v>238</v>
      </c>
      <c r="D32" s="343">
        <f t="shared" si="1"/>
        <v>210316.79999999999</v>
      </c>
      <c r="E32" s="652">
        <v>215000</v>
      </c>
      <c r="F32" s="681">
        <v>0.13</v>
      </c>
      <c r="G32" s="343">
        <v>213000</v>
      </c>
      <c r="H32" s="635">
        <f t="shared" si="0"/>
        <v>210316.79999999999</v>
      </c>
      <c r="J32" s="961">
        <v>209353.82148020083</v>
      </c>
    </row>
    <row r="33" spans="2:10" ht="15" thickBot="1" x14ac:dyDescent="0.25">
      <c r="B33" s="16"/>
      <c r="C33" s="341" t="s">
        <v>239</v>
      </c>
      <c r="D33" s="343">
        <f t="shared" si="1"/>
        <v>210316.79999999999</v>
      </c>
      <c r="E33" s="652">
        <v>215000</v>
      </c>
      <c r="F33" s="681">
        <v>0.13</v>
      </c>
      <c r="G33" s="343">
        <v>213000</v>
      </c>
      <c r="H33" s="635">
        <f t="shared" si="0"/>
        <v>210316.79999999999</v>
      </c>
      <c r="J33" s="961">
        <v>209353.82148020083</v>
      </c>
    </row>
    <row r="34" spans="2:10" ht="15" thickBot="1" x14ac:dyDescent="0.25">
      <c r="B34" s="16"/>
      <c r="C34" s="341" t="s">
        <v>240</v>
      </c>
      <c r="D34" s="343">
        <f t="shared" si="1"/>
        <v>207911.8</v>
      </c>
      <c r="E34" s="652">
        <v>216000</v>
      </c>
      <c r="F34" s="681">
        <v>0.13</v>
      </c>
      <c r="G34" s="343">
        <v>213000</v>
      </c>
      <c r="H34" s="635">
        <f t="shared" si="0"/>
        <v>207911.8</v>
      </c>
      <c r="J34" s="961">
        <v>206959.81663027318</v>
      </c>
    </row>
    <row r="35" spans="2:10" ht="15" thickBot="1" x14ac:dyDescent="0.25">
      <c r="B35" s="16"/>
      <c r="C35" s="341" t="s">
        <v>241</v>
      </c>
      <c r="D35" s="343">
        <f t="shared" si="1"/>
        <v>208411.6</v>
      </c>
      <c r="E35" s="652">
        <v>216000</v>
      </c>
      <c r="F35" s="681">
        <v>0.13</v>
      </c>
      <c r="G35" s="343">
        <v>213000</v>
      </c>
      <c r="H35" s="635">
        <f t="shared" si="0"/>
        <v>208411.6</v>
      </c>
      <c r="J35" s="961">
        <v>207457.28300528429</v>
      </c>
    </row>
    <row r="36" spans="2:10" ht="15" thickBot="1" x14ac:dyDescent="0.25">
      <c r="B36" s="16"/>
      <c r="C36" s="341" t="s">
        <v>242</v>
      </c>
      <c r="D36" s="343">
        <f t="shared" si="1"/>
        <v>208411.6</v>
      </c>
      <c r="E36" s="652">
        <v>216000</v>
      </c>
      <c r="F36" s="681">
        <v>0.13</v>
      </c>
      <c r="G36" s="343">
        <v>213000</v>
      </c>
      <c r="H36" s="635">
        <f t="shared" si="0"/>
        <v>208411.6</v>
      </c>
      <c r="J36" s="961">
        <v>207457.28300528429</v>
      </c>
    </row>
    <row r="37" spans="2:10" ht="15" thickBot="1" x14ac:dyDescent="0.25">
      <c r="B37" s="16"/>
      <c r="C37" s="341" t="s">
        <v>243</v>
      </c>
      <c r="D37" s="343">
        <f t="shared" si="1"/>
        <v>207911.8</v>
      </c>
      <c r="E37" s="652">
        <v>216000</v>
      </c>
      <c r="F37" s="681">
        <v>0.13</v>
      </c>
      <c r="G37" s="343">
        <v>213000</v>
      </c>
      <c r="H37" s="635">
        <f t="shared" si="0"/>
        <v>207911.8</v>
      </c>
      <c r="J37" s="961">
        <v>206959.81663027318</v>
      </c>
    </row>
    <row r="38" spans="2:10" ht="15" thickBot="1" x14ac:dyDescent="0.25">
      <c r="B38" s="16"/>
      <c r="C38" s="341" t="s">
        <v>244</v>
      </c>
      <c r="D38" s="343">
        <f t="shared" si="1"/>
        <v>205555.4</v>
      </c>
      <c r="E38" s="652">
        <v>215000</v>
      </c>
      <c r="F38" s="681">
        <v>0.13</v>
      </c>
      <c r="G38" s="343">
        <v>213000</v>
      </c>
      <c r="H38" s="635">
        <f t="shared" si="0"/>
        <v>205555.4</v>
      </c>
      <c r="J38" s="961">
        <v>204614.14184692953</v>
      </c>
    </row>
    <row r="39" spans="2:10" ht="15" thickBot="1" x14ac:dyDescent="0.25">
      <c r="B39" s="16"/>
      <c r="C39" s="341" t="s">
        <v>414</v>
      </c>
      <c r="D39" s="343">
        <f t="shared" si="1"/>
        <v>205555.4</v>
      </c>
      <c r="E39" s="652">
        <v>215000</v>
      </c>
      <c r="F39" s="681">
        <v>0.13</v>
      </c>
      <c r="G39" s="343">
        <v>213000</v>
      </c>
      <c r="H39" s="635">
        <f t="shared" si="0"/>
        <v>205555.4</v>
      </c>
      <c r="J39" s="961">
        <v>204614.14184692953</v>
      </c>
    </row>
    <row r="40" spans="2:10" ht="15" thickBot="1" x14ac:dyDescent="0.25">
      <c r="B40" s="16"/>
      <c r="C40" s="341" t="s">
        <v>415</v>
      </c>
      <c r="D40" s="343">
        <f t="shared" si="1"/>
        <v>210304.3</v>
      </c>
      <c r="E40" s="652">
        <v>216000</v>
      </c>
      <c r="F40" s="681">
        <v>0.13</v>
      </c>
      <c r="G40" s="343">
        <v>213000</v>
      </c>
      <c r="H40" s="635">
        <f t="shared" si="0"/>
        <v>210304.3</v>
      </c>
      <c r="J40" s="961">
        <v>209341.32232504978</v>
      </c>
    </row>
    <row r="41" spans="2:10" ht="15" thickBot="1" x14ac:dyDescent="0.25">
      <c r="B41" s="16"/>
      <c r="C41" s="341" t="s">
        <v>416</v>
      </c>
      <c r="D41" s="343">
        <f t="shared" si="1"/>
        <v>210809.1</v>
      </c>
      <c r="E41" s="652">
        <v>216000</v>
      </c>
      <c r="F41" s="681">
        <v>0.13</v>
      </c>
      <c r="G41" s="343">
        <v>213000</v>
      </c>
      <c r="H41" s="635">
        <f t="shared" si="0"/>
        <v>210809.1</v>
      </c>
      <c r="J41" s="961">
        <v>209843.7883621213</v>
      </c>
    </row>
    <row r="42" spans="2:10" ht="15" thickBot="1" x14ac:dyDescent="0.25">
      <c r="B42" s="16"/>
      <c r="C42" s="341" t="s">
        <v>417</v>
      </c>
      <c r="D42" s="343">
        <f t="shared" si="1"/>
        <v>207212.79999999999</v>
      </c>
      <c r="E42" s="652">
        <v>216000</v>
      </c>
      <c r="F42" s="681">
        <v>0.13</v>
      </c>
      <c r="G42" s="343">
        <v>213000</v>
      </c>
      <c r="H42" s="635">
        <f t="shared" si="0"/>
        <v>207212.79999999999</v>
      </c>
      <c r="J42" s="961">
        <v>206264.03032686576</v>
      </c>
    </row>
    <row r="43" spans="2:10" ht="15" thickBot="1" x14ac:dyDescent="0.25">
      <c r="B43" s="16"/>
      <c r="C43" s="341" t="s">
        <v>245</v>
      </c>
      <c r="D43" s="343">
        <f t="shared" si="1"/>
        <v>211506.5</v>
      </c>
      <c r="E43" s="652">
        <v>216000</v>
      </c>
      <c r="F43" s="681">
        <v>0.13</v>
      </c>
      <c r="G43" s="343">
        <v>213000</v>
      </c>
      <c r="H43" s="635">
        <f t="shared" si="0"/>
        <v>211506.5</v>
      </c>
      <c r="J43" s="961">
        <v>210538.02893667502</v>
      </c>
    </row>
    <row r="44" spans="2:10" ht="15" thickBot="1" x14ac:dyDescent="0.25">
      <c r="B44" s="16"/>
      <c r="C44" s="341" t="s">
        <v>246</v>
      </c>
      <c r="D44" s="343">
        <f t="shared" si="1"/>
        <v>211519.1</v>
      </c>
      <c r="E44" s="652">
        <v>215000</v>
      </c>
      <c r="F44" s="681">
        <v>0.13</v>
      </c>
      <c r="G44" s="343">
        <v>213000</v>
      </c>
      <c r="H44" s="635">
        <f t="shared" si="0"/>
        <v>211519.1</v>
      </c>
      <c r="J44" s="961">
        <v>210550.59058760182</v>
      </c>
    </row>
    <row r="45" spans="2:10" ht="15" thickBot="1" x14ac:dyDescent="0.25">
      <c r="B45" s="16"/>
      <c r="C45" s="341" t="s">
        <v>247</v>
      </c>
      <c r="D45" s="343">
        <f t="shared" si="1"/>
        <v>211519.1</v>
      </c>
      <c r="E45" s="652">
        <v>215000</v>
      </c>
      <c r="F45" s="681">
        <v>0.13</v>
      </c>
      <c r="G45" s="343">
        <v>213000</v>
      </c>
      <c r="H45" s="635">
        <f t="shared" si="0"/>
        <v>211519.1</v>
      </c>
      <c r="J45" s="961">
        <v>210550.59058760182</v>
      </c>
    </row>
    <row r="46" spans="2:10" ht="15" thickBot="1" x14ac:dyDescent="0.25">
      <c r="B46" s="16"/>
      <c r="C46" s="341" t="s">
        <v>248</v>
      </c>
      <c r="D46" s="343">
        <f t="shared" si="1"/>
        <v>209102.1</v>
      </c>
      <c r="E46" s="652">
        <v>216000</v>
      </c>
      <c r="F46" s="681">
        <v>0.13</v>
      </c>
      <c r="G46" s="343">
        <v>213000</v>
      </c>
      <c r="H46" s="635">
        <f t="shared" si="0"/>
        <v>209102.1</v>
      </c>
      <c r="J46" s="961">
        <v>208144.61571342454</v>
      </c>
    </row>
    <row r="47" spans="2:10" ht="15" thickBot="1" x14ac:dyDescent="0.25">
      <c r="B47" s="16"/>
      <c r="C47" s="341" t="s">
        <v>249</v>
      </c>
      <c r="D47" s="343">
        <f t="shared" si="1"/>
        <v>209604.3</v>
      </c>
      <c r="E47" s="652">
        <v>216000</v>
      </c>
      <c r="F47" s="681">
        <v>0.13</v>
      </c>
      <c r="G47" s="343">
        <v>213000</v>
      </c>
      <c r="H47" s="635">
        <f t="shared" si="0"/>
        <v>209604.3</v>
      </c>
      <c r="J47" s="961">
        <v>208644.5694203107</v>
      </c>
    </row>
    <row r="48" spans="2:10" ht="15" thickBot="1" x14ac:dyDescent="0.25">
      <c r="B48" s="16"/>
      <c r="C48" s="341" t="s">
        <v>250</v>
      </c>
      <c r="D48" s="343">
        <f t="shared" si="1"/>
        <v>209604.3</v>
      </c>
      <c r="E48" s="652">
        <v>216000</v>
      </c>
      <c r="F48" s="681">
        <v>0.13</v>
      </c>
      <c r="G48" s="343">
        <v>213000</v>
      </c>
      <c r="H48" s="635">
        <f t="shared" si="0"/>
        <v>209604.3</v>
      </c>
      <c r="J48" s="961">
        <v>208644.5694203107</v>
      </c>
    </row>
    <row r="49" spans="2:10" ht="15" thickBot="1" x14ac:dyDescent="0.25">
      <c r="B49" s="16"/>
      <c r="C49" s="341" t="s">
        <v>251</v>
      </c>
      <c r="D49" s="343">
        <f t="shared" si="1"/>
        <v>209102.1</v>
      </c>
      <c r="E49" s="652">
        <v>216000</v>
      </c>
      <c r="F49" s="681">
        <v>0.13</v>
      </c>
      <c r="G49" s="343">
        <v>213000</v>
      </c>
      <c r="H49" s="635">
        <f t="shared" si="0"/>
        <v>209102.1</v>
      </c>
      <c r="J49" s="961">
        <v>208144.61571342454</v>
      </c>
    </row>
    <row r="50" spans="2:10" ht="15" thickBot="1" x14ac:dyDescent="0.25">
      <c r="B50" s="16"/>
      <c r="C50" s="341" t="s">
        <v>252</v>
      </c>
      <c r="D50" s="343">
        <f t="shared" si="1"/>
        <v>206733.8</v>
      </c>
      <c r="E50" s="652">
        <v>215000</v>
      </c>
      <c r="F50" s="681">
        <v>0.13</v>
      </c>
      <c r="G50" s="343">
        <v>213000</v>
      </c>
      <c r="H50" s="635">
        <f t="shared" si="0"/>
        <v>206733.8</v>
      </c>
      <c r="J50" s="961">
        <v>205787.21255616416</v>
      </c>
    </row>
    <row r="51" spans="2:10" ht="15" thickBot="1" x14ac:dyDescent="0.25">
      <c r="B51" s="16"/>
      <c r="C51" s="341" t="s">
        <v>418</v>
      </c>
      <c r="D51" s="343">
        <f t="shared" si="1"/>
        <v>206733.8</v>
      </c>
      <c r="E51" s="652">
        <v>215000</v>
      </c>
      <c r="F51" s="681">
        <v>0.13</v>
      </c>
      <c r="G51" s="343">
        <v>213000</v>
      </c>
      <c r="H51" s="635">
        <f t="shared" si="0"/>
        <v>206733.8</v>
      </c>
      <c r="J51" s="961">
        <v>205787.21255616416</v>
      </c>
    </row>
    <row r="52" spans="2:10" ht="15" thickBot="1" x14ac:dyDescent="0.25">
      <c r="B52" s="16"/>
      <c r="C52" s="341" t="s">
        <v>419</v>
      </c>
      <c r="D52" s="343">
        <f t="shared" si="1"/>
        <v>211506.5</v>
      </c>
      <c r="E52" s="652">
        <v>216000</v>
      </c>
      <c r="F52" s="681">
        <v>0.13</v>
      </c>
      <c r="G52" s="343">
        <v>213000</v>
      </c>
      <c r="H52" s="635">
        <f t="shared" si="0"/>
        <v>211506.5</v>
      </c>
      <c r="J52" s="961">
        <v>210538.02893667502</v>
      </c>
    </row>
    <row r="53" spans="2:10" ht="15" thickBot="1" x14ac:dyDescent="0.25">
      <c r="B53" s="16"/>
      <c r="C53" s="341" t="s">
        <v>420</v>
      </c>
      <c r="D53" s="343">
        <f t="shared" si="1"/>
        <v>212013.8</v>
      </c>
      <c r="E53" s="652">
        <v>216000</v>
      </c>
      <c r="F53" s="681">
        <v>0.13</v>
      </c>
      <c r="G53" s="343">
        <v>213000</v>
      </c>
      <c r="H53" s="635">
        <f t="shared" si="0"/>
        <v>212013.8</v>
      </c>
      <c r="J53" s="961">
        <v>211043.00730393187</v>
      </c>
    </row>
    <row r="54" spans="2:10" ht="15" thickBot="1" x14ac:dyDescent="0.25">
      <c r="B54" s="16"/>
      <c r="C54" s="341" t="s">
        <v>421</v>
      </c>
      <c r="D54" s="343">
        <f t="shared" si="1"/>
        <v>208399.6</v>
      </c>
      <c r="E54" s="652">
        <v>216000</v>
      </c>
      <c r="F54" s="681">
        <v>0.13</v>
      </c>
      <c r="G54" s="343">
        <v>213000</v>
      </c>
      <c r="H54" s="635">
        <f t="shared" si="0"/>
        <v>208399.6</v>
      </c>
      <c r="J54" s="961">
        <v>207445.35047850007</v>
      </c>
    </row>
    <row r="55" spans="2:10" ht="15" thickBot="1" x14ac:dyDescent="0.25">
      <c r="B55" s="16"/>
      <c r="C55" s="341" t="s">
        <v>253</v>
      </c>
      <c r="D55" s="343">
        <f t="shared" si="1"/>
        <v>241644.5</v>
      </c>
      <c r="E55" s="652">
        <v>222000</v>
      </c>
      <c r="F55" s="681">
        <v>0.17</v>
      </c>
      <c r="G55" s="343">
        <v>235000</v>
      </c>
      <c r="H55" s="635">
        <f t="shared" si="0"/>
        <v>241644.5</v>
      </c>
      <c r="J55" s="961">
        <v>240538.02893667502</v>
      </c>
    </row>
    <row r="56" spans="2:10" ht="15" thickBot="1" x14ac:dyDescent="0.25">
      <c r="B56" s="16"/>
      <c r="C56" s="341" t="s">
        <v>254</v>
      </c>
      <c r="D56" s="343">
        <f t="shared" si="1"/>
        <v>241657.1</v>
      </c>
      <c r="E56" s="652">
        <v>221000</v>
      </c>
      <c r="F56" s="681">
        <v>0.17</v>
      </c>
      <c r="G56" s="343">
        <v>235000</v>
      </c>
      <c r="H56" s="635">
        <f t="shared" si="0"/>
        <v>241657.1</v>
      </c>
      <c r="J56" s="961">
        <v>240550.59058760182</v>
      </c>
    </row>
    <row r="57" spans="2:10" ht="15" thickBot="1" x14ac:dyDescent="0.25">
      <c r="B57" s="16"/>
      <c r="C57" s="341" t="s">
        <v>255</v>
      </c>
      <c r="D57" s="343">
        <f t="shared" si="1"/>
        <v>241657.1</v>
      </c>
      <c r="E57" s="652">
        <v>221000</v>
      </c>
      <c r="F57" s="681">
        <v>0.17</v>
      </c>
      <c r="G57" s="343">
        <v>235000</v>
      </c>
      <c r="H57" s="635">
        <f t="shared" si="0"/>
        <v>241657.1</v>
      </c>
      <c r="J57" s="961">
        <v>240550.59058760182</v>
      </c>
    </row>
    <row r="58" spans="2:10" ht="15" thickBot="1" x14ac:dyDescent="0.25">
      <c r="B58" s="16"/>
      <c r="C58" s="341" t="s">
        <v>256</v>
      </c>
      <c r="D58" s="343">
        <f t="shared" si="1"/>
        <v>239240.1</v>
      </c>
      <c r="E58" s="652">
        <v>222000</v>
      </c>
      <c r="F58" s="681">
        <v>0.17</v>
      </c>
      <c r="G58" s="343">
        <v>235000</v>
      </c>
      <c r="H58" s="635">
        <f t="shared" si="0"/>
        <v>239240.1</v>
      </c>
      <c r="J58" s="961">
        <v>238144.61571342454</v>
      </c>
    </row>
    <row r="59" spans="2:10" ht="15" thickBot="1" x14ac:dyDescent="0.25">
      <c r="B59" s="16"/>
      <c r="C59" s="341" t="s">
        <v>257</v>
      </c>
      <c r="D59" s="343">
        <f t="shared" si="1"/>
        <v>239742.3</v>
      </c>
      <c r="E59" s="652">
        <v>223000</v>
      </c>
      <c r="F59" s="681">
        <v>0.17</v>
      </c>
      <c r="G59" s="343">
        <v>235000</v>
      </c>
      <c r="H59" s="635">
        <f t="shared" si="0"/>
        <v>239742.3</v>
      </c>
      <c r="J59" s="961">
        <v>238644.5694203107</v>
      </c>
    </row>
    <row r="60" spans="2:10" ht="15" thickBot="1" x14ac:dyDescent="0.25">
      <c r="B60" s="16"/>
      <c r="C60" s="341" t="s">
        <v>258</v>
      </c>
      <c r="D60" s="343">
        <f t="shared" si="1"/>
        <v>239742.3</v>
      </c>
      <c r="E60" s="652">
        <v>223000</v>
      </c>
      <c r="F60" s="681">
        <v>0.17</v>
      </c>
      <c r="G60" s="343">
        <v>235000</v>
      </c>
      <c r="H60" s="635">
        <f t="shared" si="0"/>
        <v>239742.3</v>
      </c>
      <c r="J60" s="961">
        <v>238644.5694203107</v>
      </c>
    </row>
    <row r="61" spans="2:10" ht="15" thickBot="1" x14ac:dyDescent="0.25">
      <c r="B61" s="16"/>
      <c r="C61" s="341" t="s">
        <v>259</v>
      </c>
      <c r="D61" s="343">
        <f t="shared" si="1"/>
        <v>239240.1</v>
      </c>
      <c r="E61" s="652">
        <v>222000</v>
      </c>
      <c r="F61" s="681">
        <v>0.17</v>
      </c>
      <c r="G61" s="343">
        <v>235000</v>
      </c>
      <c r="H61" s="635">
        <f t="shared" si="0"/>
        <v>239240.1</v>
      </c>
      <c r="J61" s="961">
        <v>238144.61571342454</v>
      </c>
    </row>
    <row r="62" spans="2:10" ht="15" thickBot="1" x14ac:dyDescent="0.25">
      <c r="B62" s="16"/>
      <c r="C62" s="341" t="s">
        <v>260</v>
      </c>
      <c r="D62" s="343">
        <f t="shared" si="1"/>
        <v>236871.8</v>
      </c>
      <c r="E62" s="652">
        <v>221000</v>
      </c>
      <c r="F62" s="681">
        <v>0.17</v>
      </c>
      <c r="G62" s="343">
        <v>235000</v>
      </c>
      <c r="H62" s="635">
        <f t="shared" si="0"/>
        <v>236871.8</v>
      </c>
      <c r="J62" s="961">
        <v>235787.21255616416</v>
      </c>
    </row>
    <row r="63" spans="2:10" ht="15" thickBot="1" x14ac:dyDescent="0.25">
      <c r="B63" s="16"/>
      <c r="C63" s="341" t="s">
        <v>422</v>
      </c>
      <c r="D63" s="343">
        <f t="shared" si="1"/>
        <v>236871.8</v>
      </c>
      <c r="E63" s="652">
        <v>221000</v>
      </c>
      <c r="F63" s="681">
        <v>0.17</v>
      </c>
      <c r="G63" s="343">
        <v>235000</v>
      </c>
      <c r="H63" s="635">
        <f t="shared" si="0"/>
        <v>236871.8</v>
      </c>
      <c r="J63" s="961">
        <v>235787.21255616416</v>
      </c>
    </row>
    <row r="64" spans="2:10" ht="15" thickBot="1" x14ac:dyDescent="0.25">
      <c r="B64" s="16"/>
      <c r="C64" s="341" t="s">
        <v>423</v>
      </c>
      <c r="D64" s="343">
        <f t="shared" si="1"/>
        <v>241644.5</v>
      </c>
      <c r="E64" s="652">
        <v>222000</v>
      </c>
      <c r="F64" s="681">
        <v>0.17</v>
      </c>
      <c r="G64" s="343">
        <v>235000</v>
      </c>
      <c r="H64" s="635">
        <f t="shared" si="0"/>
        <v>241644.5</v>
      </c>
      <c r="J64" s="961">
        <v>240538.02893667502</v>
      </c>
    </row>
    <row r="65" spans="2:10" ht="15" thickBot="1" x14ac:dyDescent="0.25">
      <c r="B65" s="16"/>
      <c r="C65" s="341" t="s">
        <v>424</v>
      </c>
      <c r="D65" s="343">
        <f t="shared" si="1"/>
        <v>242151.8</v>
      </c>
      <c r="E65" s="652">
        <v>223000</v>
      </c>
      <c r="F65" s="681">
        <v>0.17</v>
      </c>
      <c r="G65" s="343">
        <v>235000</v>
      </c>
      <c r="H65" s="635">
        <f t="shared" si="0"/>
        <v>242151.8</v>
      </c>
      <c r="J65" s="961">
        <v>241043.00730393187</v>
      </c>
    </row>
    <row r="66" spans="2:10" ht="15" thickBot="1" x14ac:dyDescent="0.25">
      <c r="B66" s="16"/>
      <c r="C66" s="341" t="s">
        <v>425</v>
      </c>
      <c r="D66" s="343">
        <f t="shared" si="1"/>
        <v>238537.60000000001</v>
      </c>
      <c r="E66" s="652">
        <v>223000</v>
      </c>
      <c r="F66" s="681">
        <v>0.17</v>
      </c>
      <c r="G66" s="343">
        <v>235000</v>
      </c>
      <c r="H66" s="635">
        <f t="shared" si="0"/>
        <v>238537.60000000001</v>
      </c>
      <c r="J66" s="961">
        <v>237445.35047850007</v>
      </c>
    </row>
    <row r="67" spans="2:10" ht="15" thickBot="1" x14ac:dyDescent="0.25">
      <c r="B67" s="16"/>
      <c r="C67" s="341" t="s">
        <v>261</v>
      </c>
      <c r="D67" s="343">
        <f t="shared" si="1"/>
        <v>241644.5</v>
      </c>
      <c r="E67" s="652">
        <v>222000</v>
      </c>
      <c r="F67" s="681">
        <v>0.17</v>
      </c>
      <c r="G67" s="343">
        <v>235000</v>
      </c>
      <c r="H67" s="635">
        <f t="shared" si="0"/>
        <v>241644.5</v>
      </c>
      <c r="J67" s="961">
        <v>240538.02893667502</v>
      </c>
    </row>
    <row r="68" spans="2:10" ht="15" thickBot="1" x14ac:dyDescent="0.25">
      <c r="B68" s="16"/>
      <c r="C68" s="341" t="s">
        <v>262</v>
      </c>
      <c r="D68" s="343">
        <f t="shared" si="1"/>
        <v>241657.1</v>
      </c>
      <c r="E68" s="652">
        <v>221000</v>
      </c>
      <c r="F68" s="681">
        <v>0.17</v>
      </c>
      <c r="G68" s="343">
        <v>235000</v>
      </c>
      <c r="H68" s="635">
        <f t="shared" si="0"/>
        <v>241657.1</v>
      </c>
      <c r="J68" s="961">
        <v>240550.59058760182</v>
      </c>
    </row>
    <row r="69" spans="2:10" ht="15" thickBot="1" x14ac:dyDescent="0.25">
      <c r="B69" s="16"/>
      <c r="C69" s="341" t="s">
        <v>263</v>
      </c>
      <c r="D69" s="343">
        <f t="shared" si="1"/>
        <v>241657.1</v>
      </c>
      <c r="E69" s="652">
        <v>221000</v>
      </c>
      <c r="F69" s="681">
        <v>0.17</v>
      </c>
      <c r="G69" s="343">
        <v>235000</v>
      </c>
      <c r="H69" s="635">
        <f t="shared" si="0"/>
        <v>241657.1</v>
      </c>
      <c r="J69" s="961">
        <v>240550.59058760182</v>
      </c>
    </row>
    <row r="70" spans="2:10" ht="15" thickBot="1" x14ac:dyDescent="0.25">
      <c r="B70" s="16"/>
      <c r="C70" s="341" t="s">
        <v>264</v>
      </c>
      <c r="D70" s="343">
        <f t="shared" si="1"/>
        <v>239240.1</v>
      </c>
      <c r="E70" s="652">
        <v>222000</v>
      </c>
      <c r="F70" s="681">
        <v>0.17</v>
      </c>
      <c r="G70" s="343">
        <v>235000</v>
      </c>
      <c r="H70" s="635">
        <f t="shared" si="0"/>
        <v>239240.1</v>
      </c>
      <c r="J70" s="961">
        <v>238144.61571342454</v>
      </c>
    </row>
    <row r="71" spans="2:10" ht="15" thickBot="1" x14ac:dyDescent="0.25">
      <c r="B71" s="16"/>
      <c r="C71" s="341" t="s">
        <v>265</v>
      </c>
      <c r="D71" s="343">
        <f t="shared" si="1"/>
        <v>239742.3</v>
      </c>
      <c r="E71" s="652">
        <v>223000</v>
      </c>
      <c r="F71" s="681">
        <v>0.17</v>
      </c>
      <c r="G71" s="343">
        <v>235000</v>
      </c>
      <c r="H71" s="635">
        <f t="shared" si="0"/>
        <v>239742.3</v>
      </c>
      <c r="J71" s="961">
        <v>238644.5694203107</v>
      </c>
    </row>
    <row r="72" spans="2:10" ht="15" thickBot="1" x14ac:dyDescent="0.25">
      <c r="B72" s="16"/>
      <c r="C72" s="341" t="s">
        <v>266</v>
      </c>
      <c r="D72" s="343">
        <f t="shared" si="1"/>
        <v>239742.3</v>
      </c>
      <c r="E72" s="652">
        <v>223000</v>
      </c>
      <c r="F72" s="681">
        <v>0.17</v>
      </c>
      <c r="G72" s="343">
        <v>235000</v>
      </c>
      <c r="H72" s="635">
        <f t="shared" ref="H72:H133" si="2">D72</f>
        <v>239742.3</v>
      </c>
      <c r="J72" s="961">
        <v>238644.5694203107</v>
      </c>
    </row>
    <row r="73" spans="2:10" ht="15" thickBot="1" x14ac:dyDescent="0.25">
      <c r="B73" s="16"/>
      <c r="C73" s="341" t="s">
        <v>267</v>
      </c>
      <c r="D73" s="343">
        <f t="shared" si="1"/>
        <v>239240.1</v>
      </c>
      <c r="E73" s="652">
        <v>222000</v>
      </c>
      <c r="F73" s="681">
        <v>0.17</v>
      </c>
      <c r="G73" s="343">
        <v>235000</v>
      </c>
      <c r="H73" s="635">
        <f t="shared" si="2"/>
        <v>239240.1</v>
      </c>
      <c r="J73" s="961">
        <v>238144.61571342454</v>
      </c>
    </row>
    <row r="74" spans="2:10" ht="15" thickBot="1" x14ac:dyDescent="0.25">
      <c r="B74" s="16"/>
      <c r="C74" s="341" t="s">
        <v>268</v>
      </c>
      <c r="D74" s="343">
        <f t="shared" si="1"/>
        <v>236871.8</v>
      </c>
      <c r="E74" s="652">
        <v>221000</v>
      </c>
      <c r="F74" s="681">
        <v>0.17</v>
      </c>
      <c r="G74" s="343">
        <v>235000</v>
      </c>
      <c r="H74" s="635">
        <f t="shared" si="2"/>
        <v>236871.8</v>
      </c>
      <c r="J74" s="961">
        <v>235787.21255616416</v>
      </c>
    </row>
    <row r="75" spans="2:10" ht="15" thickBot="1" x14ac:dyDescent="0.25">
      <c r="B75" s="16"/>
      <c r="C75" s="341" t="s">
        <v>426</v>
      </c>
      <c r="D75" s="343">
        <f t="shared" ref="D75:D138" si="3">ROUND(J75*$J$1,1)</f>
        <v>236871.8</v>
      </c>
      <c r="E75" s="652">
        <v>221000</v>
      </c>
      <c r="F75" s="681">
        <v>0.17</v>
      </c>
      <c r="G75" s="343">
        <v>235000</v>
      </c>
      <c r="H75" s="635">
        <f t="shared" si="2"/>
        <v>236871.8</v>
      </c>
      <c r="J75" s="961">
        <v>235787.21255616416</v>
      </c>
    </row>
    <row r="76" spans="2:10" ht="15" thickBot="1" x14ac:dyDescent="0.25">
      <c r="B76" s="16"/>
      <c r="C76" s="341" t="s">
        <v>427</v>
      </c>
      <c r="D76" s="343">
        <f t="shared" si="3"/>
        <v>241644.5</v>
      </c>
      <c r="E76" s="652">
        <v>222000</v>
      </c>
      <c r="F76" s="681">
        <v>0.17</v>
      </c>
      <c r="G76" s="343">
        <v>235000</v>
      </c>
      <c r="H76" s="635">
        <f t="shared" si="2"/>
        <v>241644.5</v>
      </c>
      <c r="J76" s="961">
        <v>240538.02893667502</v>
      </c>
    </row>
    <row r="77" spans="2:10" ht="15" thickBot="1" x14ac:dyDescent="0.25">
      <c r="B77" s="16"/>
      <c r="C77" s="341" t="s">
        <v>428</v>
      </c>
      <c r="D77" s="343">
        <f t="shared" si="3"/>
        <v>242151.8</v>
      </c>
      <c r="E77" s="652">
        <v>223000</v>
      </c>
      <c r="F77" s="681">
        <v>0.17</v>
      </c>
      <c r="G77" s="343">
        <v>235000</v>
      </c>
      <c r="H77" s="635">
        <f t="shared" si="2"/>
        <v>242151.8</v>
      </c>
      <c r="J77" s="961">
        <v>241043.00730393187</v>
      </c>
    </row>
    <row r="78" spans="2:10" ht="15" thickBot="1" x14ac:dyDescent="0.25">
      <c r="B78" s="16"/>
      <c r="C78" s="341" t="s">
        <v>429</v>
      </c>
      <c r="D78" s="343">
        <f t="shared" si="3"/>
        <v>238537.60000000001</v>
      </c>
      <c r="E78" s="652">
        <v>223000</v>
      </c>
      <c r="F78" s="681">
        <v>0.17</v>
      </c>
      <c r="G78" s="343">
        <v>235000</v>
      </c>
      <c r="H78" s="635">
        <f t="shared" si="2"/>
        <v>238537.60000000001</v>
      </c>
      <c r="J78" s="961">
        <v>237445.35047850007</v>
      </c>
    </row>
    <row r="79" spans="2:10" ht="15" thickBot="1" x14ac:dyDescent="0.25">
      <c r="B79" s="16"/>
      <c r="C79" s="341" t="s">
        <v>269</v>
      </c>
      <c r="D79" s="343">
        <f t="shared" si="3"/>
        <v>242846.7</v>
      </c>
      <c r="E79" s="652">
        <v>222000</v>
      </c>
      <c r="F79" s="681">
        <v>0.17</v>
      </c>
      <c r="G79" s="343">
        <v>235000</v>
      </c>
      <c r="H79" s="635">
        <f t="shared" si="2"/>
        <v>242846.7</v>
      </c>
      <c r="J79" s="961">
        <v>241734.73554830029</v>
      </c>
    </row>
    <row r="80" spans="2:10" ht="15" thickBot="1" x14ac:dyDescent="0.25">
      <c r="B80" s="16"/>
      <c r="C80" s="341" t="s">
        <v>270</v>
      </c>
      <c r="D80" s="343">
        <f t="shared" si="3"/>
        <v>242859.4</v>
      </c>
      <c r="E80" s="652">
        <v>221000</v>
      </c>
      <c r="F80" s="681">
        <v>0.17</v>
      </c>
      <c r="G80" s="343">
        <v>235000</v>
      </c>
      <c r="H80" s="635">
        <f t="shared" si="2"/>
        <v>242859.4</v>
      </c>
      <c r="J80" s="961">
        <v>241747.35969500284</v>
      </c>
    </row>
    <row r="81" spans="2:10" ht="15" thickBot="1" x14ac:dyDescent="0.25">
      <c r="B81" s="16"/>
      <c r="C81" s="341" t="s">
        <v>271</v>
      </c>
      <c r="D81" s="343">
        <f t="shared" si="3"/>
        <v>242859.4</v>
      </c>
      <c r="E81" s="652">
        <v>221000</v>
      </c>
      <c r="F81" s="681">
        <v>0.17</v>
      </c>
      <c r="G81" s="343">
        <v>235000</v>
      </c>
      <c r="H81" s="635">
        <f t="shared" si="2"/>
        <v>242859.4</v>
      </c>
      <c r="J81" s="961">
        <v>241747.35969500284</v>
      </c>
    </row>
    <row r="82" spans="2:10" ht="15" thickBot="1" x14ac:dyDescent="0.25">
      <c r="B82" s="16"/>
      <c r="C82" s="341" t="s">
        <v>272</v>
      </c>
      <c r="D82" s="343">
        <f t="shared" si="3"/>
        <v>240430.3</v>
      </c>
      <c r="E82" s="652">
        <v>222000</v>
      </c>
      <c r="F82" s="681">
        <v>0.17</v>
      </c>
      <c r="G82" s="343">
        <v>235000</v>
      </c>
      <c r="H82" s="635">
        <f t="shared" si="2"/>
        <v>240430.3</v>
      </c>
      <c r="J82" s="961">
        <v>239329.41479657593</v>
      </c>
    </row>
    <row r="83" spans="2:10" ht="15" thickBot="1" x14ac:dyDescent="0.25">
      <c r="B83" s="16"/>
      <c r="C83" s="341" t="s">
        <v>273</v>
      </c>
      <c r="D83" s="343">
        <f t="shared" si="3"/>
        <v>240935.1</v>
      </c>
      <c r="E83" s="652">
        <v>223000</v>
      </c>
      <c r="F83" s="681">
        <v>0.17</v>
      </c>
      <c r="G83" s="343">
        <v>235000</v>
      </c>
      <c r="H83" s="635">
        <f t="shared" si="2"/>
        <v>240935.1</v>
      </c>
      <c r="J83" s="961">
        <v>239831.8558353371</v>
      </c>
    </row>
    <row r="84" spans="2:10" ht="15" thickBot="1" x14ac:dyDescent="0.25">
      <c r="B84" s="16"/>
      <c r="C84" s="341" t="s">
        <v>274</v>
      </c>
      <c r="D84" s="343">
        <f t="shared" si="3"/>
        <v>240935.1</v>
      </c>
      <c r="E84" s="652">
        <v>223000</v>
      </c>
      <c r="F84" s="681">
        <v>0.17</v>
      </c>
      <c r="G84" s="343">
        <v>235000</v>
      </c>
      <c r="H84" s="635">
        <f t="shared" si="2"/>
        <v>240935.1</v>
      </c>
      <c r="J84" s="961">
        <v>239831.8558353371</v>
      </c>
    </row>
    <row r="85" spans="2:10" ht="15" thickBot="1" x14ac:dyDescent="0.25">
      <c r="B85" s="16"/>
      <c r="C85" s="341" t="s">
        <v>275</v>
      </c>
      <c r="D85" s="343">
        <f t="shared" si="3"/>
        <v>240430.3</v>
      </c>
      <c r="E85" s="652">
        <v>222000</v>
      </c>
      <c r="F85" s="681">
        <v>0.17</v>
      </c>
      <c r="G85" s="343">
        <v>235000</v>
      </c>
      <c r="H85" s="635">
        <f t="shared" si="2"/>
        <v>240430.3</v>
      </c>
      <c r="J85" s="961">
        <v>239329.41479657593</v>
      </c>
    </row>
    <row r="86" spans="2:10" ht="15" thickBot="1" x14ac:dyDescent="0.25">
      <c r="B86" s="16"/>
      <c r="C86" s="341" t="s">
        <v>276</v>
      </c>
      <c r="D86" s="343">
        <f t="shared" si="3"/>
        <v>238050.3</v>
      </c>
      <c r="E86" s="652">
        <v>221000</v>
      </c>
      <c r="F86" s="681">
        <v>0.17</v>
      </c>
      <c r="G86" s="343">
        <v>235000</v>
      </c>
      <c r="H86" s="635">
        <f t="shared" si="2"/>
        <v>238050.3</v>
      </c>
      <c r="J86" s="961">
        <v>236960.28326539882</v>
      </c>
    </row>
    <row r="87" spans="2:10" ht="15" thickBot="1" x14ac:dyDescent="0.25">
      <c r="B87" s="16"/>
      <c r="C87" s="341" t="s">
        <v>430</v>
      </c>
      <c r="D87" s="343">
        <f t="shared" si="3"/>
        <v>238050.3</v>
      </c>
      <c r="E87" s="652">
        <v>221000</v>
      </c>
      <c r="F87" s="681">
        <v>0.17</v>
      </c>
      <c r="G87" s="343">
        <v>235000</v>
      </c>
      <c r="H87" s="635">
        <f t="shared" si="2"/>
        <v>238050.3</v>
      </c>
      <c r="J87" s="961">
        <v>236960.28326539882</v>
      </c>
    </row>
    <row r="88" spans="2:10" ht="15" thickBot="1" x14ac:dyDescent="0.25">
      <c r="B88" s="16"/>
      <c r="C88" s="341" t="s">
        <v>431</v>
      </c>
      <c r="D88" s="343">
        <f t="shared" si="3"/>
        <v>242846.7</v>
      </c>
      <c r="E88" s="652">
        <v>222000</v>
      </c>
      <c r="F88" s="681">
        <v>0.17</v>
      </c>
      <c r="G88" s="343">
        <v>235000</v>
      </c>
      <c r="H88" s="635">
        <f t="shared" si="2"/>
        <v>242846.7</v>
      </c>
      <c r="J88" s="961">
        <v>241734.73554830029</v>
      </c>
    </row>
    <row r="89" spans="2:10" ht="15" thickBot="1" x14ac:dyDescent="0.25">
      <c r="B89" s="16"/>
      <c r="C89" s="341" t="s">
        <v>432</v>
      </c>
      <c r="D89" s="343">
        <f t="shared" si="3"/>
        <v>243356.5</v>
      </c>
      <c r="E89" s="652">
        <v>223000</v>
      </c>
      <c r="F89" s="681">
        <v>0.17</v>
      </c>
      <c r="G89" s="343">
        <v>235000</v>
      </c>
      <c r="H89" s="635">
        <f t="shared" si="2"/>
        <v>243356.5</v>
      </c>
      <c r="J89" s="961">
        <v>242242.22624574249</v>
      </c>
    </row>
    <row r="90" spans="2:10" ht="15" thickBot="1" x14ac:dyDescent="0.25">
      <c r="B90" s="16"/>
      <c r="C90" s="341" t="s">
        <v>433</v>
      </c>
      <c r="D90" s="343">
        <f t="shared" si="3"/>
        <v>239724.4</v>
      </c>
      <c r="E90" s="652">
        <v>223000</v>
      </c>
      <c r="F90" s="681">
        <v>0.17</v>
      </c>
      <c r="G90" s="343">
        <v>235000</v>
      </c>
      <c r="H90" s="635">
        <f t="shared" si="2"/>
        <v>239724.4</v>
      </c>
      <c r="J90" s="961">
        <v>238626.67063013444</v>
      </c>
    </row>
    <row r="91" spans="2:10" ht="15" thickBot="1" x14ac:dyDescent="0.25">
      <c r="B91" s="16"/>
      <c r="C91" s="341" t="s">
        <v>277</v>
      </c>
      <c r="D91" s="343">
        <f t="shared" si="3"/>
        <v>242846.7</v>
      </c>
      <c r="E91" s="652">
        <v>222000</v>
      </c>
      <c r="F91" s="681">
        <v>0.17</v>
      </c>
      <c r="G91" s="343">
        <v>235000</v>
      </c>
      <c r="H91" s="635">
        <f t="shared" si="2"/>
        <v>242846.7</v>
      </c>
      <c r="J91" s="961">
        <v>241734.73554830029</v>
      </c>
    </row>
    <row r="92" spans="2:10" ht="15" thickBot="1" x14ac:dyDescent="0.25">
      <c r="B92" s="16"/>
      <c r="C92" s="341" t="s">
        <v>278</v>
      </c>
      <c r="D92" s="343">
        <f t="shared" si="3"/>
        <v>242859.4</v>
      </c>
      <c r="E92" s="652">
        <v>221000</v>
      </c>
      <c r="F92" s="681">
        <v>0.17</v>
      </c>
      <c r="G92" s="343">
        <v>235000</v>
      </c>
      <c r="H92" s="635">
        <f t="shared" si="2"/>
        <v>242859.4</v>
      </c>
      <c r="J92" s="961">
        <v>241747.35969500284</v>
      </c>
    </row>
    <row r="93" spans="2:10" ht="15" thickBot="1" x14ac:dyDescent="0.25">
      <c r="B93" s="16"/>
      <c r="C93" s="341" t="s">
        <v>279</v>
      </c>
      <c r="D93" s="343">
        <f t="shared" si="3"/>
        <v>242859.4</v>
      </c>
      <c r="E93" s="652">
        <v>221000</v>
      </c>
      <c r="F93" s="681">
        <v>0.17</v>
      </c>
      <c r="G93" s="343">
        <v>235000</v>
      </c>
      <c r="H93" s="635">
        <f t="shared" si="2"/>
        <v>242859.4</v>
      </c>
      <c r="J93" s="961">
        <v>241747.35969500284</v>
      </c>
    </row>
    <row r="94" spans="2:10" ht="15" thickBot="1" x14ac:dyDescent="0.25">
      <c r="B94" s="16"/>
      <c r="C94" s="341" t="s">
        <v>280</v>
      </c>
      <c r="D94" s="343">
        <f t="shared" si="3"/>
        <v>240430.3</v>
      </c>
      <c r="E94" s="652">
        <v>222000</v>
      </c>
      <c r="F94" s="681">
        <v>0.17</v>
      </c>
      <c r="G94" s="343">
        <v>235000</v>
      </c>
      <c r="H94" s="635">
        <f t="shared" si="2"/>
        <v>240430.3</v>
      </c>
      <c r="J94" s="961">
        <v>239329.41479657593</v>
      </c>
    </row>
    <row r="95" spans="2:10" ht="15" thickBot="1" x14ac:dyDescent="0.25">
      <c r="B95" s="16"/>
      <c r="C95" s="341" t="s">
        <v>281</v>
      </c>
      <c r="D95" s="343">
        <f t="shared" si="3"/>
        <v>240935.1</v>
      </c>
      <c r="E95" s="652">
        <v>223000</v>
      </c>
      <c r="F95" s="681">
        <v>0.17</v>
      </c>
      <c r="G95" s="343">
        <v>235000</v>
      </c>
      <c r="H95" s="635">
        <f t="shared" si="2"/>
        <v>240935.1</v>
      </c>
      <c r="J95" s="961">
        <v>239831.8558353371</v>
      </c>
    </row>
    <row r="96" spans="2:10" ht="15" thickBot="1" x14ac:dyDescent="0.25">
      <c r="B96" s="16"/>
      <c r="C96" s="341" t="s">
        <v>282</v>
      </c>
      <c r="D96" s="343">
        <f t="shared" si="3"/>
        <v>240935.1</v>
      </c>
      <c r="E96" s="652">
        <v>223000</v>
      </c>
      <c r="F96" s="681">
        <v>0.17</v>
      </c>
      <c r="G96" s="343">
        <v>235000</v>
      </c>
      <c r="H96" s="635">
        <f t="shared" si="2"/>
        <v>240935.1</v>
      </c>
      <c r="J96" s="961">
        <v>239831.8558353371</v>
      </c>
    </row>
    <row r="97" spans="2:10" ht="15" thickBot="1" x14ac:dyDescent="0.25">
      <c r="B97" s="16"/>
      <c r="C97" s="341" t="s">
        <v>283</v>
      </c>
      <c r="D97" s="343">
        <f t="shared" si="3"/>
        <v>240430.3</v>
      </c>
      <c r="E97" s="652">
        <v>222000</v>
      </c>
      <c r="F97" s="681">
        <v>0.17</v>
      </c>
      <c r="G97" s="343">
        <v>235000</v>
      </c>
      <c r="H97" s="635">
        <f t="shared" si="2"/>
        <v>240430.3</v>
      </c>
      <c r="J97" s="961">
        <v>239329.41479657593</v>
      </c>
    </row>
    <row r="98" spans="2:10" ht="15" thickBot="1" x14ac:dyDescent="0.25">
      <c r="B98" s="16"/>
      <c r="C98" s="341" t="s">
        <v>284</v>
      </c>
      <c r="D98" s="343">
        <f t="shared" si="3"/>
        <v>238050.3</v>
      </c>
      <c r="E98" s="652">
        <v>221000</v>
      </c>
      <c r="F98" s="681">
        <v>0.17</v>
      </c>
      <c r="G98" s="343">
        <v>235000</v>
      </c>
      <c r="H98" s="635">
        <f t="shared" si="2"/>
        <v>238050.3</v>
      </c>
      <c r="J98" s="961">
        <v>236960.28326539882</v>
      </c>
    </row>
    <row r="99" spans="2:10" ht="15" thickBot="1" x14ac:dyDescent="0.25">
      <c r="B99" s="16"/>
      <c r="C99" s="341" t="s">
        <v>434</v>
      </c>
      <c r="D99" s="343">
        <f t="shared" si="3"/>
        <v>238050.3</v>
      </c>
      <c r="E99" s="652">
        <v>221000</v>
      </c>
      <c r="F99" s="681">
        <v>0.17</v>
      </c>
      <c r="G99" s="343">
        <v>235000</v>
      </c>
      <c r="H99" s="635">
        <f t="shared" si="2"/>
        <v>238050.3</v>
      </c>
      <c r="J99" s="961">
        <v>236960.28326539882</v>
      </c>
    </row>
    <row r="100" spans="2:10" ht="15" thickBot="1" x14ac:dyDescent="0.25">
      <c r="B100" s="16"/>
      <c r="C100" s="341" t="s">
        <v>435</v>
      </c>
      <c r="D100" s="343">
        <f t="shared" si="3"/>
        <v>242846.7</v>
      </c>
      <c r="E100" s="652">
        <v>222000</v>
      </c>
      <c r="F100" s="681">
        <v>0.17</v>
      </c>
      <c r="G100" s="343">
        <v>235000</v>
      </c>
      <c r="H100" s="635">
        <f t="shared" si="2"/>
        <v>242846.7</v>
      </c>
      <c r="J100" s="961">
        <v>241734.73554830029</v>
      </c>
    </row>
    <row r="101" spans="2:10" ht="15" thickBot="1" x14ac:dyDescent="0.25">
      <c r="B101" s="16"/>
      <c r="C101" s="341" t="s">
        <v>436</v>
      </c>
      <c r="D101" s="343">
        <f t="shared" si="3"/>
        <v>243356.5</v>
      </c>
      <c r="E101" s="652">
        <v>223000</v>
      </c>
      <c r="F101" s="681">
        <v>0.17</v>
      </c>
      <c r="G101" s="343">
        <v>235000</v>
      </c>
      <c r="H101" s="635">
        <f t="shared" si="2"/>
        <v>243356.5</v>
      </c>
      <c r="J101" s="961">
        <v>242242.22624574249</v>
      </c>
    </row>
    <row r="102" spans="2:10" ht="15" thickBot="1" x14ac:dyDescent="0.25">
      <c r="B102" s="16"/>
      <c r="C102" s="341" t="s">
        <v>437</v>
      </c>
      <c r="D102" s="343">
        <f t="shared" si="3"/>
        <v>239724.4</v>
      </c>
      <c r="E102" s="652">
        <v>223000</v>
      </c>
      <c r="F102" s="681">
        <v>0.17</v>
      </c>
      <c r="G102" s="343">
        <v>235000</v>
      </c>
      <c r="H102" s="635">
        <f t="shared" si="2"/>
        <v>239724.4</v>
      </c>
      <c r="J102" s="961">
        <v>238626.67063013444</v>
      </c>
    </row>
    <row r="103" spans="2:10" ht="15" thickBot="1" x14ac:dyDescent="0.25">
      <c r="B103" s="16"/>
      <c r="C103" s="341" t="s">
        <v>285</v>
      </c>
      <c r="D103" s="343">
        <f t="shared" si="3"/>
        <v>200770.3</v>
      </c>
      <c r="E103" s="652">
        <v>216000</v>
      </c>
      <c r="F103" s="681">
        <v>0.13</v>
      </c>
      <c r="G103" s="343">
        <v>213000</v>
      </c>
      <c r="H103" s="635">
        <f t="shared" si="2"/>
        <v>200770.3</v>
      </c>
      <c r="J103" s="961">
        <v>199851.022131365</v>
      </c>
    </row>
    <row r="104" spans="2:10" ht="15" thickBot="1" x14ac:dyDescent="0.25">
      <c r="B104" s="16"/>
      <c r="C104" s="341" t="s">
        <v>286</v>
      </c>
      <c r="D104" s="343">
        <f t="shared" si="3"/>
        <v>215989</v>
      </c>
      <c r="E104" s="652">
        <v>221000</v>
      </c>
      <c r="F104" s="681">
        <v>0.15</v>
      </c>
      <c r="G104" s="343">
        <v>215000</v>
      </c>
      <c r="H104" s="635">
        <f t="shared" si="2"/>
        <v>215989</v>
      </c>
      <c r="J104" s="961">
        <v>215000</v>
      </c>
    </row>
    <row r="105" spans="2:10" ht="15" thickBot="1" x14ac:dyDescent="0.25">
      <c r="B105" s="16"/>
      <c r="C105" s="341" t="s">
        <v>287</v>
      </c>
      <c r="D105" s="343">
        <f t="shared" si="3"/>
        <v>215989</v>
      </c>
      <c r="E105" s="652">
        <v>221000</v>
      </c>
      <c r="F105" s="681">
        <v>0.15</v>
      </c>
      <c r="G105" s="343">
        <v>215000</v>
      </c>
      <c r="H105" s="635">
        <f t="shared" si="2"/>
        <v>215989</v>
      </c>
      <c r="J105" s="961">
        <v>215000</v>
      </c>
    </row>
    <row r="106" spans="2:10" ht="15" thickBot="1" x14ac:dyDescent="0.25">
      <c r="B106" s="16"/>
      <c r="C106" s="341" t="s">
        <v>288</v>
      </c>
      <c r="D106" s="343">
        <f t="shared" si="3"/>
        <v>203091</v>
      </c>
      <c r="E106" s="652">
        <v>216000</v>
      </c>
      <c r="F106" s="681">
        <v>0.13</v>
      </c>
      <c r="G106" s="343">
        <v>213000</v>
      </c>
      <c r="H106" s="635">
        <f t="shared" si="2"/>
        <v>203091</v>
      </c>
      <c r="J106" s="961">
        <v>202161.08265529829</v>
      </c>
    </row>
    <row r="107" spans="2:10" ht="15" thickBot="1" x14ac:dyDescent="0.25">
      <c r="B107" s="16"/>
      <c r="C107" s="341" t="s">
        <v>289</v>
      </c>
      <c r="D107" s="343">
        <f t="shared" si="3"/>
        <v>203580.7</v>
      </c>
      <c r="E107" s="652">
        <v>216000</v>
      </c>
      <c r="F107" s="681">
        <v>0.13</v>
      </c>
      <c r="G107" s="343">
        <v>213000</v>
      </c>
      <c r="H107" s="635">
        <f t="shared" si="2"/>
        <v>203580.7</v>
      </c>
      <c r="J107" s="961">
        <v>202648.47471125762</v>
      </c>
    </row>
    <row r="108" spans="2:10" ht="15" thickBot="1" x14ac:dyDescent="0.25">
      <c r="B108" s="16"/>
      <c r="C108" s="341" t="s">
        <v>354</v>
      </c>
      <c r="D108" s="343">
        <f t="shared" si="3"/>
        <v>203580.7</v>
      </c>
      <c r="E108" s="652">
        <v>216000</v>
      </c>
      <c r="F108" s="681">
        <v>0.13</v>
      </c>
      <c r="G108" s="343">
        <v>213000</v>
      </c>
      <c r="H108" s="635">
        <f t="shared" si="2"/>
        <v>203580.7</v>
      </c>
      <c r="J108" s="961">
        <v>202648.47471125762</v>
      </c>
    </row>
    <row r="109" spans="2:10" ht="15" thickBot="1" x14ac:dyDescent="0.25">
      <c r="B109" s="16"/>
      <c r="C109" s="341" t="s">
        <v>355</v>
      </c>
      <c r="D109" s="343">
        <f t="shared" si="3"/>
        <v>203091</v>
      </c>
      <c r="E109" s="652">
        <v>216000</v>
      </c>
      <c r="F109" s="681">
        <v>0.13</v>
      </c>
      <c r="G109" s="343">
        <v>213000</v>
      </c>
      <c r="H109" s="635">
        <f t="shared" si="2"/>
        <v>203091</v>
      </c>
      <c r="J109" s="961">
        <v>202161.08265529829</v>
      </c>
    </row>
    <row r="110" spans="2:10" ht="15" thickBot="1" x14ac:dyDescent="0.25">
      <c r="B110" s="16"/>
      <c r="C110" s="341" t="s">
        <v>363</v>
      </c>
      <c r="D110" s="343">
        <f t="shared" si="3"/>
        <v>215989</v>
      </c>
      <c r="E110" s="652">
        <v>221000</v>
      </c>
      <c r="F110" s="681">
        <v>0.15</v>
      </c>
      <c r="G110" s="343">
        <v>215000</v>
      </c>
      <c r="H110" s="635">
        <f t="shared" si="2"/>
        <v>215989</v>
      </c>
      <c r="J110" s="961">
        <v>215000</v>
      </c>
    </row>
    <row r="111" spans="2:10" ht="15" thickBot="1" x14ac:dyDescent="0.25">
      <c r="B111" s="16"/>
      <c r="C111" s="341" t="s">
        <v>438</v>
      </c>
      <c r="D111" s="343">
        <f t="shared" si="3"/>
        <v>215989</v>
      </c>
      <c r="E111" s="652">
        <v>221000</v>
      </c>
      <c r="F111" s="681">
        <v>0.15</v>
      </c>
      <c r="G111" s="343">
        <v>215000</v>
      </c>
      <c r="H111" s="635">
        <f t="shared" si="2"/>
        <v>215989</v>
      </c>
      <c r="J111" s="961">
        <v>215000</v>
      </c>
    </row>
    <row r="112" spans="2:10" ht="15" thickBot="1" x14ac:dyDescent="0.25">
      <c r="B112" s="16"/>
      <c r="C112" s="341" t="s">
        <v>439</v>
      </c>
      <c r="D112" s="343">
        <f t="shared" si="3"/>
        <v>200770.3</v>
      </c>
      <c r="E112" s="652">
        <v>216000</v>
      </c>
      <c r="F112" s="681">
        <v>0.13</v>
      </c>
      <c r="G112" s="343">
        <v>213000</v>
      </c>
      <c r="H112" s="635">
        <f t="shared" si="2"/>
        <v>200770.3</v>
      </c>
      <c r="J112" s="961">
        <v>199851.022131365</v>
      </c>
    </row>
    <row r="113" spans="2:10" ht="15" thickBot="1" x14ac:dyDescent="0.25">
      <c r="B113" s="16"/>
      <c r="C113" s="341" t="s">
        <v>290</v>
      </c>
      <c r="D113" s="343">
        <f t="shared" si="3"/>
        <v>207911.8</v>
      </c>
      <c r="E113" s="652">
        <v>216000</v>
      </c>
      <c r="F113" s="681">
        <v>0.13</v>
      </c>
      <c r="G113" s="343">
        <v>213000</v>
      </c>
      <c r="H113" s="635">
        <f t="shared" si="2"/>
        <v>207911.8</v>
      </c>
      <c r="J113" s="961">
        <v>206959.81663027318</v>
      </c>
    </row>
    <row r="114" spans="2:10" ht="15" thickBot="1" x14ac:dyDescent="0.25">
      <c r="B114" s="16"/>
      <c r="C114" s="341" t="s">
        <v>291</v>
      </c>
      <c r="D114" s="343">
        <f t="shared" si="3"/>
        <v>205555.4</v>
      </c>
      <c r="E114" s="652">
        <v>215000</v>
      </c>
      <c r="F114" s="681">
        <v>0.13</v>
      </c>
      <c r="G114" s="343">
        <v>213000</v>
      </c>
      <c r="H114" s="635">
        <f t="shared" si="2"/>
        <v>205555.4</v>
      </c>
      <c r="J114" s="961">
        <v>204614.14184692953</v>
      </c>
    </row>
    <row r="115" spans="2:10" ht="15" thickBot="1" x14ac:dyDescent="0.25">
      <c r="B115" s="16"/>
      <c r="C115" s="341" t="s">
        <v>292</v>
      </c>
      <c r="D115" s="343">
        <f t="shared" si="3"/>
        <v>205555.4</v>
      </c>
      <c r="E115" s="652">
        <v>215000</v>
      </c>
      <c r="F115" s="681">
        <v>0.13</v>
      </c>
      <c r="G115" s="343">
        <v>213000</v>
      </c>
      <c r="H115" s="635">
        <f t="shared" si="2"/>
        <v>205555.4</v>
      </c>
      <c r="J115" s="961">
        <v>204614.14184692953</v>
      </c>
    </row>
    <row r="116" spans="2:10" ht="15" thickBot="1" x14ac:dyDescent="0.25">
      <c r="B116" s="16"/>
      <c r="C116" s="341" t="s">
        <v>293</v>
      </c>
      <c r="D116" s="343">
        <f t="shared" si="3"/>
        <v>210304.3</v>
      </c>
      <c r="E116" s="652">
        <v>216000</v>
      </c>
      <c r="F116" s="681">
        <v>0.13</v>
      </c>
      <c r="G116" s="343">
        <v>213000</v>
      </c>
      <c r="H116" s="635">
        <f t="shared" si="2"/>
        <v>210304.3</v>
      </c>
      <c r="J116" s="961">
        <v>209341.32232504978</v>
      </c>
    </row>
    <row r="117" spans="2:10" ht="15" thickBot="1" x14ac:dyDescent="0.25">
      <c r="B117" s="16"/>
      <c r="C117" s="341" t="s">
        <v>294</v>
      </c>
      <c r="D117" s="343">
        <f t="shared" si="3"/>
        <v>210809.1</v>
      </c>
      <c r="E117" s="652">
        <v>216000</v>
      </c>
      <c r="F117" s="681">
        <v>0.13</v>
      </c>
      <c r="G117" s="343">
        <v>213000</v>
      </c>
      <c r="H117" s="635">
        <f t="shared" si="2"/>
        <v>210809.1</v>
      </c>
      <c r="J117" s="961">
        <v>209843.7883621213</v>
      </c>
    </row>
    <row r="118" spans="2:10" ht="15" thickBot="1" x14ac:dyDescent="0.25">
      <c r="B118" s="16"/>
      <c r="C118" s="341" t="s">
        <v>295</v>
      </c>
      <c r="D118" s="343">
        <f t="shared" si="3"/>
        <v>210809.1</v>
      </c>
      <c r="E118" s="652">
        <v>216000</v>
      </c>
      <c r="F118" s="681">
        <v>0.13</v>
      </c>
      <c r="G118" s="343">
        <v>213000</v>
      </c>
      <c r="H118" s="635">
        <f t="shared" si="2"/>
        <v>210809.1</v>
      </c>
      <c r="J118" s="961">
        <v>209843.7883621213</v>
      </c>
    </row>
    <row r="119" spans="2:10" ht="15" thickBot="1" x14ac:dyDescent="0.25">
      <c r="B119" s="16"/>
      <c r="C119" s="341" t="s">
        <v>296</v>
      </c>
      <c r="D119" s="343">
        <f t="shared" si="3"/>
        <v>210304.3</v>
      </c>
      <c r="E119" s="652">
        <v>216000</v>
      </c>
      <c r="F119" s="681">
        <v>0.13</v>
      </c>
      <c r="G119" s="343">
        <v>213000</v>
      </c>
      <c r="H119" s="635">
        <f t="shared" si="2"/>
        <v>210304.3</v>
      </c>
      <c r="J119" s="961">
        <v>209341.32232504978</v>
      </c>
    </row>
    <row r="120" spans="2:10" ht="15" thickBot="1" x14ac:dyDescent="0.25">
      <c r="B120" s="16"/>
      <c r="C120" s="341" t="s">
        <v>297</v>
      </c>
      <c r="D120" s="343">
        <f t="shared" si="3"/>
        <v>210316.79999999999</v>
      </c>
      <c r="E120" s="652">
        <v>215000</v>
      </c>
      <c r="F120" s="681">
        <v>0.13</v>
      </c>
      <c r="G120" s="343">
        <v>213000</v>
      </c>
      <c r="H120" s="635">
        <f t="shared" si="2"/>
        <v>210316.79999999999</v>
      </c>
      <c r="J120" s="961">
        <v>209353.82148020083</v>
      </c>
    </row>
    <row r="121" spans="2:10" ht="15" thickBot="1" x14ac:dyDescent="0.25">
      <c r="B121" s="16"/>
      <c r="C121" s="341" t="s">
        <v>364</v>
      </c>
      <c r="D121" s="343">
        <f t="shared" si="3"/>
        <v>210316.79999999999</v>
      </c>
      <c r="E121" s="652">
        <v>215000</v>
      </c>
      <c r="F121" s="681">
        <v>0.13</v>
      </c>
      <c r="G121" s="343">
        <v>213000</v>
      </c>
      <c r="H121" s="635">
        <f t="shared" si="2"/>
        <v>210316.79999999999</v>
      </c>
      <c r="J121" s="961">
        <v>209353.82148020083</v>
      </c>
    </row>
    <row r="122" spans="2:10" ht="15" thickBot="1" x14ac:dyDescent="0.25">
      <c r="B122" s="16"/>
      <c r="C122" s="341" t="s">
        <v>365</v>
      </c>
      <c r="D122" s="343">
        <f t="shared" si="3"/>
        <v>207911.8</v>
      </c>
      <c r="E122" s="652">
        <v>216000</v>
      </c>
      <c r="F122" s="681">
        <v>0.13</v>
      </c>
      <c r="G122" s="343">
        <v>213000</v>
      </c>
      <c r="H122" s="635">
        <f t="shared" si="2"/>
        <v>207911.8</v>
      </c>
      <c r="J122" s="961">
        <v>206959.81663027318</v>
      </c>
    </row>
    <row r="123" spans="2:10" ht="15" thickBot="1" x14ac:dyDescent="0.25">
      <c r="B123" s="16"/>
      <c r="C123" s="341" t="s">
        <v>440</v>
      </c>
      <c r="D123" s="343">
        <f t="shared" si="3"/>
        <v>208411.6</v>
      </c>
      <c r="E123" s="652">
        <v>216000</v>
      </c>
      <c r="F123" s="681">
        <v>0.13</v>
      </c>
      <c r="G123" s="343">
        <v>213000</v>
      </c>
      <c r="H123" s="635">
        <f t="shared" si="2"/>
        <v>208411.6</v>
      </c>
      <c r="J123" s="961">
        <v>207457.28300528429</v>
      </c>
    </row>
    <row r="124" spans="2:10" ht="15" thickBot="1" x14ac:dyDescent="0.25">
      <c r="B124" s="16"/>
      <c r="C124" s="341" t="s">
        <v>441</v>
      </c>
      <c r="D124" s="343">
        <f t="shared" si="3"/>
        <v>208411.6</v>
      </c>
      <c r="E124" s="652">
        <v>216000</v>
      </c>
      <c r="F124" s="681">
        <v>0.13</v>
      </c>
      <c r="G124" s="343">
        <v>213000</v>
      </c>
      <c r="H124" s="635">
        <f t="shared" si="2"/>
        <v>208411.6</v>
      </c>
      <c r="J124" s="961">
        <v>207457.28300528429</v>
      </c>
    </row>
    <row r="125" spans="2:10" ht="15" thickBot="1" x14ac:dyDescent="0.25">
      <c r="B125" s="16"/>
      <c r="C125" s="341" t="s">
        <v>298</v>
      </c>
      <c r="D125" s="343">
        <f t="shared" si="3"/>
        <v>207911.8</v>
      </c>
      <c r="E125" s="652">
        <v>216000</v>
      </c>
      <c r="F125" s="681">
        <v>0.13</v>
      </c>
      <c r="G125" s="343">
        <v>213000</v>
      </c>
      <c r="H125" s="635">
        <f t="shared" si="2"/>
        <v>207911.8</v>
      </c>
      <c r="J125" s="961">
        <v>206959.81663027318</v>
      </c>
    </row>
    <row r="126" spans="2:10" ht="15" thickBot="1" x14ac:dyDescent="0.25">
      <c r="B126" s="16"/>
      <c r="C126" s="341" t="s">
        <v>299</v>
      </c>
      <c r="D126" s="343">
        <f t="shared" si="3"/>
        <v>205555.4</v>
      </c>
      <c r="E126" s="652">
        <v>215000</v>
      </c>
      <c r="F126" s="681">
        <v>0.13</v>
      </c>
      <c r="G126" s="343">
        <v>213000</v>
      </c>
      <c r="H126" s="635">
        <f t="shared" si="2"/>
        <v>205555.4</v>
      </c>
      <c r="J126" s="961">
        <v>204614.14184692953</v>
      </c>
    </row>
    <row r="127" spans="2:10" ht="15" thickBot="1" x14ac:dyDescent="0.25">
      <c r="B127" s="16"/>
      <c r="C127" s="341" t="s">
        <v>300</v>
      </c>
      <c r="D127" s="343">
        <f t="shared" si="3"/>
        <v>205555.4</v>
      </c>
      <c r="E127" s="652">
        <v>215000</v>
      </c>
      <c r="F127" s="681">
        <v>0.13</v>
      </c>
      <c r="G127" s="343">
        <v>213000</v>
      </c>
      <c r="H127" s="635">
        <f t="shared" si="2"/>
        <v>205555.4</v>
      </c>
      <c r="J127" s="961">
        <v>204614.14184692953</v>
      </c>
    </row>
    <row r="128" spans="2:10" ht="15" thickBot="1" x14ac:dyDescent="0.25">
      <c r="B128" s="16"/>
      <c r="C128" s="341" t="s">
        <v>301</v>
      </c>
      <c r="D128" s="343">
        <f t="shared" si="3"/>
        <v>210304.3</v>
      </c>
      <c r="E128" s="652">
        <v>216000</v>
      </c>
      <c r="F128" s="681">
        <v>0.13</v>
      </c>
      <c r="G128" s="343">
        <v>213000</v>
      </c>
      <c r="H128" s="635">
        <f t="shared" si="2"/>
        <v>210304.3</v>
      </c>
      <c r="J128" s="961">
        <v>209341.32232504978</v>
      </c>
    </row>
    <row r="129" spans="2:10" ht="15" thickBot="1" x14ac:dyDescent="0.25">
      <c r="B129" s="16"/>
      <c r="C129" s="341" t="s">
        <v>302</v>
      </c>
      <c r="D129" s="343">
        <f t="shared" si="3"/>
        <v>210809.1</v>
      </c>
      <c r="E129" s="652">
        <v>216000</v>
      </c>
      <c r="F129" s="681">
        <v>0.13</v>
      </c>
      <c r="G129" s="343">
        <v>213000</v>
      </c>
      <c r="H129" s="635">
        <f t="shared" si="2"/>
        <v>210809.1</v>
      </c>
      <c r="J129" s="961">
        <v>209843.7883621213</v>
      </c>
    </row>
    <row r="130" spans="2:10" ht="15" thickBot="1" x14ac:dyDescent="0.25">
      <c r="B130" s="16"/>
      <c r="C130" s="341" t="s">
        <v>303</v>
      </c>
      <c r="D130" s="343">
        <f t="shared" si="3"/>
        <v>210809.1</v>
      </c>
      <c r="E130" s="652">
        <v>216000</v>
      </c>
      <c r="F130" s="681">
        <v>0.13</v>
      </c>
      <c r="G130" s="343">
        <v>213000</v>
      </c>
      <c r="H130" s="635">
        <f t="shared" si="2"/>
        <v>210809.1</v>
      </c>
      <c r="J130" s="961">
        <v>209843.7883621213</v>
      </c>
    </row>
    <row r="131" spans="2:10" ht="15" thickBot="1" x14ac:dyDescent="0.25">
      <c r="B131" s="16"/>
      <c r="C131" s="341" t="s">
        <v>304</v>
      </c>
      <c r="D131" s="343">
        <f t="shared" si="3"/>
        <v>210304.3</v>
      </c>
      <c r="E131" s="652">
        <v>216000</v>
      </c>
      <c r="F131" s="681">
        <v>0.13</v>
      </c>
      <c r="G131" s="343">
        <v>213000</v>
      </c>
      <c r="H131" s="635">
        <f t="shared" si="2"/>
        <v>210304.3</v>
      </c>
      <c r="J131" s="961">
        <v>209341.32232504978</v>
      </c>
    </row>
    <row r="132" spans="2:10" ht="15" thickBot="1" x14ac:dyDescent="0.25">
      <c r="B132" s="16"/>
      <c r="C132" s="341" t="s">
        <v>305</v>
      </c>
      <c r="D132" s="343">
        <f t="shared" si="3"/>
        <v>210316.79999999999</v>
      </c>
      <c r="E132" s="652">
        <v>215000</v>
      </c>
      <c r="F132" s="681">
        <v>0.13</v>
      </c>
      <c r="G132" s="343">
        <v>213000</v>
      </c>
      <c r="H132" s="635">
        <f t="shared" si="2"/>
        <v>210316.79999999999</v>
      </c>
      <c r="J132" s="961">
        <v>209353.82148020083</v>
      </c>
    </row>
    <row r="133" spans="2:10" ht="15" thickBot="1" x14ac:dyDescent="0.25">
      <c r="B133" s="16"/>
      <c r="C133" s="341" t="s">
        <v>366</v>
      </c>
      <c r="D133" s="343">
        <f t="shared" si="3"/>
        <v>210316.79999999999</v>
      </c>
      <c r="E133" s="652">
        <v>215000</v>
      </c>
      <c r="F133" s="681">
        <v>0.13</v>
      </c>
      <c r="G133" s="343">
        <v>213000</v>
      </c>
      <c r="H133" s="635">
        <f t="shared" si="2"/>
        <v>210316.79999999999</v>
      </c>
      <c r="J133" s="961">
        <v>209353.82148020083</v>
      </c>
    </row>
    <row r="134" spans="2:10" ht="15" thickBot="1" x14ac:dyDescent="0.25">
      <c r="B134" s="16"/>
      <c r="C134" s="341" t="s">
        <v>367</v>
      </c>
      <c r="D134" s="343">
        <f t="shared" si="3"/>
        <v>207911.8</v>
      </c>
      <c r="E134" s="652">
        <v>216000</v>
      </c>
      <c r="F134" s="681">
        <v>0.13</v>
      </c>
      <c r="G134" s="343">
        <v>213000</v>
      </c>
      <c r="H134" s="635">
        <f t="shared" ref="H134:H196" si="4">D134</f>
        <v>207911.8</v>
      </c>
      <c r="J134" s="961">
        <v>206959.81663027318</v>
      </c>
    </row>
    <row r="135" spans="2:10" ht="15" thickBot="1" x14ac:dyDescent="0.25">
      <c r="B135" s="16"/>
      <c r="C135" s="341" t="s">
        <v>442</v>
      </c>
      <c r="D135" s="343">
        <f t="shared" si="3"/>
        <v>208411.6</v>
      </c>
      <c r="E135" s="652">
        <v>216000</v>
      </c>
      <c r="F135" s="681">
        <v>0.13</v>
      </c>
      <c r="G135" s="343">
        <v>213000</v>
      </c>
      <c r="H135" s="635">
        <f t="shared" si="4"/>
        <v>208411.6</v>
      </c>
      <c r="J135" s="961">
        <v>207457.28300528429</v>
      </c>
    </row>
    <row r="136" spans="2:10" ht="15" thickBot="1" x14ac:dyDescent="0.25">
      <c r="B136" s="16"/>
      <c r="C136" s="341" t="s">
        <v>443</v>
      </c>
      <c r="D136" s="343">
        <f t="shared" si="3"/>
        <v>208411.6</v>
      </c>
      <c r="E136" s="652">
        <v>216000</v>
      </c>
      <c r="F136" s="681">
        <v>0.13</v>
      </c>
      <c r="G136" s="343">
        <v>213000</v>
      </c>
      <c r="H136" s="635">
        <f t="shared" si="4"/>
        <v>208411.6</v>
      </c>
      <c r="J136" s="961">
        <v>207457.28300528429</v>
      </c>
    </row>
    <row r="137" spans="2:10" ht="15" thickBot="1" x14ac:dyDescent="0.25">
      <c r="B137" s="16"/>
      <c r="C137" s="341" t="s">
        <v>306</v>
      </c>
      <c r="D137" s="343">
        <f t="shared" si="3"/>
        <v>209102.1</v>
      </c>
      <c r="E137" s="652">
        <v>216000</v>
      </c>
      <c r="F137" s="681">
        <v>0.13</v>
      </c>
      <c r="G137" s="343">
        <v>213000</v>
      </c>
      <c r="H137" s="635">
        <f t="shared" si="4"/>
        <v>209102.1</v>
      </c>
      <c r="J137" s="961">
        <v>208144.61571342454</v>
      </c>
    </row>
    <row r="138" spans="2:10" ht="15" thickBot="1" x14ac:dyDescent="0.25">
      <c r="B138" s="16"/>
      <c r="C138" s="341" t="s">
        <v>307</v>
      </c>
      <c r="D138" s="343">
        <f t="shared" si="3"/>
        <v>206733.8</v>
      </c>
      <c r="E138" s="652">
        <v>215000</v>
      </c>
      <c r="F138" s="681">
        <v>0.13</v>
      </c>
      <c r="G138" s="343">
        <v>213000</v>
      </c>
      <c r="H138" s="635">
        <f t="shared" si="4"/>
        <v>206733.8</v>
      </c>
      <c r="J138" s="961">
        <v>205787.21255616416</v>
      </c>
    </row>
    <row r="139" spans="2:10" ht="15" thickBot="1" x14ac:dyDescent="0.25">
      <c r="B139" s="16"/>
      <c r="C139" s="341" t="s">
        <v>308</v>
      </c>
      <c r="D139" s="343">
        <f t="shared" ref="D139:D196" si="5">ROUND(J139*$J$1,1)</f>
        <v>206733.8</v>
      </c>
      <c r="E139" s="652">
        <v>215000</v>
      </c>
      <c r="F139" s="681">
        <v>0.13</v>
      </c>
      <c r="G139" s="343">
        <v>213000</v>
      </c>
      <c r="H139" s="635">
        <f t="shared" si="4"/>
        <v>206733.8</v>
      </c>
      <c r="J139" s="961">
        <v>205787.21255616416</v>
      </c>
    </row>
    <row r="140" spans="2:10" ht="15" thickBot="1" x14ac:dyDescent="0.25">
      <c r="B140" s="16"/>
      <c r="C140" s="341" t="s">
        <v>309</v>
      </c>
      <c r="D140" s="343">
        <f t="shared" si="5"/>
        <v>211506.5</v>
      </c>
      <c r="E140" s="652">
        <v>216000</v>
      </c>
      <c r="F140" s="681">
        <v>0.13</v>
      </c>
      <c r="G140" s="343">
        <v>213000</v>
      </c>
      <c r="H140" s="635">
        <f t="shared" si="4"/>
        <v>211506.5</v>
      </c>
      <c r="J140" s="961">
        <v>210538.02893667502</v>
      </c>
    </row>
    <row r="141" spans="2:10" ht="15" thickBot="1" x14ac:dyDescent="0.25">
      <c r="B141" s="16"/>
      <c r="C141" s="341" t="s">
        <v>310</v>
      </c>
      <c r="D141" s="343">
        <f t="shared" si="5"/>
        <v>212013.8</v>
      </c>
      <c r="E141" s="652">
        <v>216000</v>
      </c>
      <c r="F141" s="681">
        <v>0.13</v>
      </c>
      <c r="G141" s="343">
        <v>213000</v>
      </c>
      <c r="H141" s="635">
        <f t="shared" si="4"/>
        <v>212013.8</v>
      </c>
      <c r="J141" s="961">
        <v>211043.00730393187</v>
      </c>
    </row>
    <row r="142" spans="2:10" ht="15" thickBot="1" x14ac:dyDescent="0.25">
      <c r="B142" s="16"/>
      <c r="C142" s="341" t="s">
        <v>311</v>
      </c>
      <c r="D142" s="343">
        <f t="shared" si="5"/>
        <v>212013.8</v>
      </c>
      <c r="E142" s="652">
        <v>216000</v>
      </c>
      <c r="F142" s="681">
        <v>0.13</v>
      </c>
      <c r="G142" s="343">
        <v>213000</v>
      </c>
      <c r="H142" s="635">
        <f t="shared" si="4"/>
        <v>212013.8</v>
      </c>
      <c r="J142" s="961">
        <v>211043.00730393187</v>
      </c>
    </row>
    <row r="143" spans="2:10" ht="15" thickBot="1" x14ac:dyDescent="0.25">
      <c r="B143" s="16"/>
      <c r="C143" s="341" t="s">
        <v>312</v>
      </c>
      <c r="D143" s="343">
        <f t="shared" si="5"/>
        <v>211506.5</v>
      </c>
      <c r="E143" s="652">
        <v>216000</v>
      </c>
      <c r="F143" s="681">
        <v>0.13</v>
      </c>
      <c r="G143" s="343">
        <v>213000</v>
      </c>
      <c r="H143" s="635">
        <f t="shared" si="4"/>
        <v>211506.5</v>
      </c>
      <c r="J143" s="961">
        <v>210538.02893667502</v>
      </c>
    </row>
    <row r="144" spans="2:10" ht="15" thickBot="1" x14ac:dyDescent="0.25">
      <c r="B144" s="16"/>
      <c r="C144" s="341" t="s">
        <v>313</v>
      </c>
      <c r="D144" s="343">
        <f t="shared" si="5"/>
        <v>211519.1</v>
      </c>
      <c r="E144" s="652">
        <v>215000</v>
      </c>
      <c r="F144" s="681">
        <v>0.13</v>
      </c>
      <c r="G144" s="343">
        <v>213000</v>
      </c>
      <c r="H144" s="635">
        <f t="shared" si="4"/>
        <v>211519.1</v>
      </c>
      <c r="J144" s="961">
        <v>210550.59058760182</v>
      </c>
    </row>
    <row r="145" spans="2:10" ht="15" thickBot="1" x14ac:dyDescent="0.25">
      <c r="B145" s="16"/>
      <c r="C145" s="341" t="s">
        <v>368</v>
      </c>
      <c r="D145" s="343">
        <f t="shared" si="5"/>
        <v>211519.1</v>
      </c>
      <c r="E145" s="652">
        <v>215000</v>
      </c>
      <c r="F145" s="681">
        <v>0.13</v>
      </c>
      <c r="G145" s="343">
        <v>213000</v>
      </c>
      <c r="H145" s="635">
        <f t="shared" si="4"/>
        <v>211519.1</v>
      </c>
      <c r="J145" s="961">
        <v>210550.59058760182</v>
      </c>
    </row>
    <row r="146" spans="2:10" ht="15" thickBot="1" x14ac:dyDescent="0.25">
      <c r="B146" s="16"/>
      <c r="C146" s="341" t="s">
        <v>369</v>
      </c>
      <c r="D146" s="343">
        <f t="shared" si="5"/>
        <v>209102.1</v>
      </c>
      <c r="E146" s="652">
        <v>216000</v>
      </c>
      <c r="F146" s="681">
        <v>0.13</v>
      </c>
      <c r="G146" s="343">
        <v>213000</v>
      </c>
      <c r="H146" s="635">
        <f t="shared" si="4"/>
        <v>209102.1</v>
      </c>
      <c r="J146" s="961">
        <v>208144.61571342454</v>
      </c>
    </row>
    <row r="147" spans="2:10" ht="15" thickBot="1" x14ac:dyDescent="0.25">
      <c r="B147" s="16"/>
      <c r="C147" s="341" t="s">
        <v>444</v>
      </c>
      <c r="D147" s="343">
        <f t="shared" si="5"/>
        <v>209604.3</v>
      </c>
      <c r="E147" s="652">
        <v>216000</v>
      </c>
      <c r="F147" s="681">
        <v>0.13</v>
      </c>
      <c r="G147" s="343">
        <v>213000</v>
      </c>
      <c r="H147" s="635">
        <f t="shared" si="4"/>
        <v>209604.3</v>
      </c>
      <c r="J147" s="961">
        <v>208644.5694203107</v>
      </c>
    </row>
    <row r="148" spans="2:10" ht="15" thickBot="1" x14ac:dyDescent="0.25">
      <c r="B148" s="16"/>
      <c r="C148" s="341" t="s">
        <v>445</v>
      </c>
      <c r="D148" s="343">
        <f t="shared" si="5"/>
        <v>239742.3</v>
      </c>
      <c r="E148" s="652">
        <v>223000</v>
      </c>
      <c r="F148" s="681">
        <v>0.17</v>
      </c>
      <c r="G148" s="343">
        <v>235000</v>
      </c>
      <c r="H148" s="635">
        <f t="shared" si="4"/>
        <v>239742.3</v>
      </c>
      <c r="J148" s="961">
        <v>238644.5694203107</v>
      </c>
    </row>
    <row r="149" spans="2:10" ht="15" thickBot="1" x14ac:dyDescent="0.25">
      <c r="B149" s="16"/>
      <c r="C149" s="341" t="s">
        <v>314</v>
      </c>
      <c r="D149" s="343">
        <f t="shared" si="5"/>
        <v>239240.1</v>
      </c>
      <c r="E149" s="652">
        <v>222000</v>
      </c>
      <c r="F149" s="681">
        <v>0.17</v>
      </c>
      <c r="G149" s="343">
        <v>235000</v>
      </c>
      <c r="H149" s="635">
        <f t="shared" si="4"/>
        <v>239240.1</v>
      </c>
      <c r="J149" s="961">
        <v>238144.61571342454</v>
      </c>
    </row>
    <row r="150" spans="2:10" ht="15" thickBot="1" x14ac:dyDescent="0.25">
      <c r="B150" s="16"/>
      <c r="C150" s="341" t="s">
        <v>315</v>
      </c>
      <c r="D150" s="343">
        <f t="shared" si="5"/>
        <v>236871.8</v>
      </c>
      <c r="E150" s="652">
        <v>221000</v>
      </c>
      <c r="F150" s="681">
        <v>0.17</v>
      </c>
      <c r="G150" s="343">
        <v>235000</v>
      </c>
      <c r="H150" s="635">
        <f t="shared" si="4"/>
        <v>236871.8</v>
      </c>
      <c r="J150" s="961">
        <v>235787.21255616416</v>
      </c>
    </row>
    <row r="151" spans="2:10" ht="15" thickBot="1" x14ac:dyDescent="0.25">
      <c r="B151" s="16"/>
      <c r="C151" s="341" t="s">
        <v>316</v>
      </c>
      <c r="D151" s="343">
        <f t="shared" si="5"/>
        <v>236871.8</v>
      </c>
      <c r="E151" s="652">
        <v>221000</v>
      </c>
      <c r="F151" s="681">
        <v>0.17</v>
      </c>
      <c r="G151" s="343">
        <v>235000</v>
      </c>
      <c r="H151" s="635">
        <f t="shared" si="4"/>
        <v>236871.8</v>
      </c>
      <c r="J151" s="961">
        <v>235787.21255616416</v>
      </c>
    </row>
    <row r="152" spans="2:10" ht="15" thickBot="1" x14ac:dyDescent="0.25">
      <c r="B152" s="16"/>
      <c r="C152" s="341" t="s">
        <v>317</v>
      </c>
      <c r="D152" s="343">
        <f t="shared" si="5"/>
        <v>241644.5</v>
      </c>
      <c r="E152" s="652">
        <v>222000</v>
      </c>
      <c r="F152" s="681">
        <v>0.17</v>
      </c>
      <c r="G152" s="343">
        <v>235000</v>
      </c>
      <c r="H152" s="635">
        <f t="shared" si="4"/>
        <v>241644.5</v>
      </c>
      <c r="J152" s="961">
        <v>240538.02893667502</v>
      </c>
    </row>
    <row r="153" spans="2:10" ht="15" thickBot="1" x14ac:dyDescent="0.25">
      <c r="B153" s="16"/>
      <c r="C153" s="341" t="s">
        <v>318</v>
      </c>
      <c r="D153" s="343">
        <f t="shared" si="5"/>
        <v>242151.8</v>
      </c>
      <c r="E153" s="652">
        <v>223000</v>
      </c>
      <c r="F153" s="681">
        <v>0.17</v>
      </c>
      <c r="G153" s="343">
        <v>235000</v>
      </c>
      <c r="H153" s="635">
        <f t="shared" si="4"/>
        <v>242151.8</v>
      </c>
      <c r="J153" s="961">
        <v>241043.00730393187</v>
      </c>
    </row>
    <row r="154" spans="2:10" ht="15" thickBot="1" x14ac:dyDescent="0.25">
      <c r="B154" s="16"/>
      <c r="C154" s="341" t="s">
        <v>319</v>
      </c>
      <c r="D154" s="343">
        <f t="shared" si="5"/>
        <v>242151.8</v>
      </c>
      <c r="E154" s="652">
        <v>223000</v>
      </c>
      <c r="F154" s="681">
        <v>0.17</v>
      </c>
      <c r="G154" s="343">
        <v>235000</v>
      </c>
      <c r="H154" s="635">
        <f t="shared" si="4"/>
        <v>242151.8</v>
      </c>
      <c r="J154" s="961">
        <v>241043.00730393187</v>
      </c>
    </row>
    <row r="155" spans="2:10" ht="15" thickBot="1" x14ac:dyDescent="0.25">
      <c r="B155" s="16"/>
      <c r="C155" s="341" t="s">
        <v>320</v>
      </c>
      <c r="D155" s="343">
        <f t="shared" si="5"/>
        <v>241644.5</v>
      </c>
      <c r="E155" s="652">
        <v>222000</v>
      </c>
      <c r="F155" s="681">
        <v>0.17</v>
      </c>
      <c r="G155" s="343">
        <v>235000</v>
      </c>
      <c r="H155" s="635">
        <f t="shared" si="4"/>
        <v>241644.5</v>
      </c>
      <c r="J155" s="961">
        <v>240538.02893667502</v>
      </c>
    </row>
    <row r="156" spans="2:10" ht="15" thickBot="1" x14ac:dyDescent="0.25">
      <c r="B156" s="16"/>
      <c r="C156" s="341" t="s">
        <v>321</v>
      </c>
      <c r="D156" s="343">
        <f t="shared" si="5"/>
        <v>241657.1</v>
      </c>
      <c r="E156" s="652">
        <v>221000</v>
      </c>
      <c r="F156" s="681">
        <v>0.17</v>
      </c>
      <c r="G156" s="343">
        <v>235000</v>
      </c>
      <c r="H156" s="635">
        <f t="shared" si="4"/>
        <v>241657.1</v>
      </c>
      <c r="J156" s="961">
        <v>240550.59058760182</v>
      </c>
    </row>
    <row r="157" spans="2:10" ht="15" thickBot="1" x14ac:dyDescent="0.25">
      <c r="B157" s="16"/>
      <c r="C157" s="341" t="s">
        <v>370</v>
      </c>
      <c r="D157" s="343">
        <f t="shared" si="5"/>
        <v>241657.1</v>
      </c>
      <c r="E157" s="652">
        <v>221000</v>
      </c>
      <c r="F157" s="681">
        <v>0.17</v>
      </c>
      <c r="G157" s="343">
        <v>235000</v>
      </c>
      <c r="H157" s="635">
        <f t="shared" si="4"/>
        <v>241657.1</v>
      </c>
      <c r="J157" s="961">
        <v>240550.59058760182</v>
      </c>
    </row>
    <row r="158" spans="2:10" ht="15" thickBot="1" x14ac:dyDescent="0.25">
      <c r="B158" s="16"/>
      <c r="C158" s="341" t="s">
        <v>371</v>
      </c>
      <c r="D158" s="343">
        <f t="shared" si="5"/>
        <v>239240.1</v>
      </c>
      <c r="E158" s="652">
        <v>222000</v>
      </c>
      <c r="F158" s="681">
        <v>0.17</v>
      </c>
      <c r="G158" s="343">
        <v>235000</v>
      </c>
      <c r="H158" s="635">
        <f t="shared" si="4"/>
        <v>239240.1</v>
      </c>
      <c r="J158" s="961">
        <v>238144.61571342454</v>
      </c>
    </row>
    <row r="159" spans="2:10" ht="15" thickBot="1" x14ac:dyDescent="0.25">
      <c r="B159" s="16"/>
      <c r="C159" s="341" t="s">
        <v>446</v>
      </c>
      <c r="D159" s="343">
        <f t="shared" si="5"/>
        <v>239742.3</v>
      </c>
      <c r="E159" s="652">
        <v>223000</v>
      </c>
      <c r="F159" s="681">
        <v>0.17</v>
      </c>
      <c r="G159" s="343">
        <v>235000</v>
      </c>
      <c r="H159" s="635">
        <f t="shared" si="4"/>
        <v>239742.3</v>
      </c>
      <c r="J159" s="961">
        <v>238644.5694203107</v>
      </c>
    </row>
    <row r="160" spans="2:10" ht="15" thickBot="1" x14ac:dyDescent="0.25">
      <c r="B160" s="16"/>
      <c r="C160" s="341" t="s">
        <v>447</v>
      </c>
      <c r="D160" s="343">
        <f t="shared" si="5"/>
        <v>239742.3</v>
      </c>
      <c r="E160" s="652">
        <v>223000</v>
      </c>
      <c r="F160" s="681">
        <v>0.17</v>
      </c>
      <c r="G160" s="343">
        <v>235000</v>
      </c>
      <c r="H160" s="635">
        <f t="shared" si="4"/>
        <v>239742.3</v>
      </c>
      <c r="J160" s="961">
        <v>238644.5694203107</v>
      </c>
    </row>
    <row r="161" spans="2:10" ht="15" thickBot="1" x14ac:dyDescent="0.25">
      <c r="B161" s="16"/>
      <c r="C161" s="341" t="s">
        <v>322</v>
      </c>
      <c r="D161" s="343">
        <f t="shared" si="5"/>
        <v>239240.1</v>
      </c>
      <c r="E161" s="652">
        <v>222000</v>
      </c>
      <c r="F161" s="681">
        <v>0.17</v>
      </c>
      <c r="G161" s="343">
        <v>235000</v>
      </c>
      <c r="H161" s="635">
        <f t="shared" si="4"/>
        <v>239240.1</v>
      </c>
      <c r="J161" s="961">
        <v>238144.61571342454</v>
      </c>
    </row>
    <row r="162" spans="2:10" ht="15" thickBot="1" x14ac:dyDescent="0.25">
      <c r="B162" s="16"/>
      <c r="C162" s="341" t="s">
        <v>323</v>
      </c>
      <c r="D162" s="343">
        <f t="shared" si="5"/>
        <v>236871.8</v>
      </c>
      <c r="E162" s="652">
        <v>221000</v>
      </c>
      <c r="F162" s="681">
        <v>0.17</v>
      </c>
      <c r="G162" s="343">
        <v>235000</v>
      </c>
      <c r="H162" s="635">
        <f t="shared" si="4"/>
        <v>236871.8</v>
      </c>
      <c r="J162" s="961">
        <v>235787.21255616416</v>
      </c>
    </row>
    <row r="163" spans="2:10" ht="15" thickBot="1" x14ac:dyDescent="0.25">
      <c r="B163" s="16"/>
      <c r="C163" s="341" t="s">
        <v>324</v>
      </c>
      <c r="D163" s="343">
        <f t="shared" si="5"/>
        <v>236871.8</v>
      </c>
      <c r="E163" s="652">
        <v>221000</v>
      </c>
      <c r="F163" s="681">
        <v>0.17</v>
      </c>
      <c r="G163" s="343">
        <v>235000</v>
      </c>
      <c r="H163" s="635">
        <f t="shared" si="4"/>
        <v>236871.8</v>
      </c>
      <c r="J163" s="961">
        <v>235787.21255616416</v>
      </c>
    </row>
    <row r="164" spans="2:10" ht="15" thickBot="1" x14ac:dyDescent="0.25">
      <c r="B164" s="16"/>
      <c r="C164" s="341" t="s">
        <v>325</v>
      </c>
      <c r="D164" s="343">
        <f t="shared" si="5"/>
        <v>241644.5</v>
      </c>
      <c r="E164" s="652">
        <v>222000</v>
      </c>
      <c r="F164" s="681">
        <v>0.17</v>
      </c>
      <c r="G164" s="343">
        <v>235000</v>
      </c>
      <c r="H164" s="635">
        <f t="shared" si="4"/>
        <v>241644.5</v>
      </c>
      <c r="J164" s="961">
        <v>240538.02893667502</v>
      </c>
    </row>
    <row r="165" spans="2:10" ht="15" thickBot="1" x14ac:dyDescent="0.25">
      <c r="B165" s="16"/>
      <c r="C165" s="341" t="s">
        <v>326</v>
      </c>
      <c r="D165" s="343">
        <f t="shared" si="5"/>
        <v>242151.8</v>
      </c>
      <c r="E165" s="652">
        <v>223000</v>
      </c>
      <c r="F165" s="681">
        <v>0.17</v>
      </c>
      <c r="G165" s="343">
        <v>235000</v>
      </c>
      <c r="H165" s="635">
        <f t="shared" si="4"/>
        <v>242151.8</v>
      </c>
      <c r="J165" s="961">
        <v>241043.00730393187</v>
      </c>
    </row>
    <row r="166" spans="2:10" ht="15" thickBot="1" x14ac:dyDescent="0.25">
      <c r="B166" s="16"/>
      <c r="C166" s="341" t="s">
        <v>327</v>
      </c>
      <c r="D166" s="343">
        <f t="shared" si="5"/>
        <v>242151.8</v>
      </c>
      <c r="E166" s="652">
        <v>223000</v>
      </c>
      <c r="F166" s="681">
        <v>0.17</v>
      </c>
      <c r="G166" s="343">
        <v>235000</v>
      </c>
      <c r="H166" s="635">
        <f t="shared" si="4"/>
        <v>242151.8</v>
      </c>
      <c r="J166" s="961">
        <v>241043.00730393187</v>
      </c>
    </row>
    <row r="167" spans="2:10" ht="15" thickBot="1" x14ac:dyDescent="0.25">
      <c r="B167" s="16"/>
      <c r="C167" s="341" t="s">
        <v>328</v>
      </c>
      <c r="D167" s="343">
        <f t="shared" si="5"/>
        <v>241644.5</v>
      </c>
      <c r="E167" s="652">
        <v>222000</v>
      </c>
      <c r="F167" s="681">
        <v>0.17</v>
      </c>
      <c r="G167" s="343">
        <v>235000</v>
      </c>
      <c r="H167" s="635">
        <f t="shared" si="4"/>
        <v>241644.5</v>
      </c>
      <c r="J167" s="961">
        <v>240538.02893667502</v>
      </c>
    </row>
    <row r="168" spans="2:10" ht="15" thickBot="1" x14ac:dyDescent="0.25">
      <c r="B168" s="16"/>
      <c r="C168" s="341" t="s">
        <v>329</v>
      </c>
      <c r="D168" s="343">
        <f t="shared" si="5"/>
        <v>241657.1</v>
      </c>
      <c r="E168" s="652">
        <v>221000</v>
      </c>
      <c r="F168" s="681">
        <v>0.17</v>
      </c>
      <c r="G168" s="343">
        <v>235000</v>
      </c>
      <c r="H168" s="635">
        <f t="shared" si="4"/>
        <v>241657.1</v>
      </c>
      <c r="J168" s="961">
        <v>240550.59058760182</v>
      </c>
    </row>
    <row r="169" spans="2:10" ht="15" thickBot="1" x14ac:dyDescent="0.25">
      <c r="B169" s="16"/>
      <c r="C169" s="341" t="s">
        <v>372</v>
      </c>
      <c r="D169" s="343">
        <f t="shared" si="5"/>
        <v>241657.1</v>
      </c>
      <c r="E169" s="652">
        <v>221000</v>
      </c>
      <c r="F169" s="681">
        <v>0.17</v>
      </c>
      <c r="G169" s="343">
        <v>235000</v>
      </c>
      <c r="H169" s="635">
        <f t="shared" si="4"/>
        <v>241657.1</v>
      </c>
      <c r="J169" s="961">
        <v>240550.59058760182</v>
      </c>
    </row>
    <row r="170" spans="2:10" ht="15" thickBot="1" x14ac:dyDescent="0.25">
      <c r="B170" s="16"/>
      <c r="C170" s="341" t="s">
        <v>373</v>
      </c>
      <c r="D170" s="343">
        <f t="shared" si="5"/>
        <v>239240.1</v>
      </c>
      <c r="E170" s="652">
        <v>222000</v>
      </c>
      <c r="F170" s="681">
        <v>0.17</v>
      </c>
      <c r="G170" s="343">
        <v>235000</v>
      </c>
      <c r="H170" s="635">
        <f t="shared" si="4"/>
        <v>239240.1</v>
      </c>
      <c r="J170" s="961">
        <v>238144.61571342454</v>
      </c>
    </row>
    <row r="171" spans="2:10" ht="15" thickBot="1" x14ac:dyDescent="0.25">
      <c r="B171" s="16"/>
      <c r="C171" s="341" t="s">
        <v>448</v>
      </c>
      <c r="D171" s="343">
        <f t="shared" si="5"/>
        <v>239742.3</v>
      </c>
      <c r="E171" s="652">
        <v>223000</v>
      </c>
      <c r="F171" s="681">
        <v>0.17</v>
      </c>
      <c r="G171" s="343">
        <v>235000</v>
      </c>
      <c r="H171" s="635">
        <f t="shared" si="4"/>
        <v>239742.3</v>
      </c>
      <c r="J171" s="961">
        <v>238644.5694203107</v>
      </c>
    </row>
    <row r="172" spans="2:10" ht="15" thickBot="1" x14ac:dyDescent="0.25">
      <c r="B172" s="16"/>
      <c r="C172" s="341" t="s">
        <v>449</v>
      </c>
      <c r="D172" s="343">
        <f t="shared" si="5"/>
        <v>239742.3</v>
      </c>
      <c r="E172" s="652">
        <v>223000</v>
      </c>
      <c r="F172" s="681">
        <v>0.17</v>
      </c>
      <c r="G172" s="343">
        <v>235000</v>
      </c>
      <c r="H172" s="635">
        <f t="shared" si="4"/>
        <v>239742.3</v>
      </c>
      <c r="J172" s="961">
        <v>238644.5694203107</v>
      </c>
    </row>
    <row r="173" spans="2:10" ht="15" thickBot="1" x14ac:dyDescent="0.25">
      <c r="B173" s="16"/>
      <c r="C173" s="341" t="s">
        <v>330</v>
      </c>
      <c r="D173" s="343">
        <f t="shared" si="5"/>
        <v>240430.3</v>
      </c>
      <c r="E173" s="652">
        <v>222000</v>
      </c>
      <c r="F173" s="681">
        <v>0.17</v>
      </c>
      <c r="G173" s="343">
        <v>235000</v>
      </c>
      <c r="H173" s="635">
        <f t="shared" si="4"/>
        <v>240430.3</v>
      </c>
      <c r="J173" s="961">
        <v>239329.41479657593</v>
      </c>
    </row>
    <row r="174" spans="2:10" ht="15" thickBot="1" x14ac:dyDescent="0.25">
      <c r="B174" s="16"/>
      <c r="C174" s="341" t="s">
        <v>331</v>
      </c>
      <c r="D174" s="343">
        <f t="shared" si="5"/>
        <v>238050.3</v>
      </c>
      <c r="E174" s="652">
        <v>221000</v>
      </c>
      <c r="F174" s="681">
        <v>0.17</v>
      </c>
      <c r="G174" s="343">
        <v>235000</v>
      </c>
      <c r="H174" s="635">
        <f t="shared" si="4"/>
        <v>238050.3</v>
      </c>
      <c r="J174" s="961">
        <v>236960.28326539882</v>
      </c>
    </row>
    <row r="175" spans="2:10" ht="15" thickBot="1" x14ac:dyDescent="0.25">
      <c r="B175" s="16"/>
      <c r="C175" s="341" t="s">
        <v>332</v>
      </c>
      <c r="D175" s="343">
        <f t="shared" si="5"/>
        <v>238050.3</v>
      </c>
      <c r="E175" s="652">
        <v>221000</v>
      </c>
      <c r="F175" s="681">
        <v>0.17</v>
      </c>
      <c r="G175" s="343">
        <v>235000</v>
      </c>
      <c r="H175" s="635">
        <f t="shared" si="4"/>
        <v>238050.3</v>
      </c>
      <c r="J175" s="961">
        <v>236960.28326539882</v>
      </c>
    </row>
    <row r="176" spans="2:10" ht="15" thickBot="1" x14ac:dyDescent="0.25">
      <c r="B176" s="16"/>
      <c r="C176" s="341" t="s">
        <v>333</v>
      </c>
      <c r="D176" s="343">
        <f t="shared" si="5"/>
        <v>242846.7</v>
      </c>
      <c r="E176" s="652">
        <v>222000</v>
      </c>
      <c r="F176" s="681">
        <v>0.17</v>
      </c>
      <c r="G176" s="343">
        <v>235000</v>
      </c>
      <c r="H176" s="635">
        <f t="shared" si="4"/>
        <v>242846.7</v>
      </c>
      <c r="J176" s="961">
        <v>241734.73554830029</v>
      </c>
    </row>
    <row r="177" spans="2:10" ht="15" thickBot="1" x14ac:dyDescent="0.25">
      <c r="B177" s="16"/>
      <c r="C177" s="341" t="s">
        <v>334</v>
      </c>
      <c r="D177" s="343">
        <f t="shared" si="5"/>
        <v>243356.5</v>
      </c>
      <c r="E177" s="652">
        <v>223000</v>
      </c>
      <c r="F177" s="681">
        <v>0.17</v>
      </c>
      <c r="G177" s="343">
        <v>235000</v>
      </c>
      <c r="H177" s="635">
        <f t="shared" si="4"/>
        <v>243356.5</v>
      </c>
      <c r="J177" s="961">
        <v>242242.22624574249</v>
      </c>
    </row>
    <row r="178" spans="2:10" ht="15" thickBot="1" x14ac:dyDescent="0.25">
      <c r="B178" s="16"/>
      <c r="C178" s="341" t="s">
        <v>335</v>
      </c>
      <c r="D178" s="343">
        <f t="shared" si="5"/>
        <v>243356.5</v>
      </c>
      <c r="E178" s="652">
        <v>223000</v>
      </c>
      <c r="F178" s="681">
        <v>0.17</v>
      </c>
      <c r="G178" s="343">
        <v>235000</v>
      </c>
      <c r="H178" s="635">
        <f t="shared" si="4"/>
        <v>243356.5</v>
      </c>
      <c r="J178" s="961">
        <v>242242.22624574249</v>
      </c>
    </row>
    <row r="179" spans="2:10" ht="15" thickBot="1" x14ac:dyDescent="0.25">
      <c r="B179" s="16"/>
      <c r="C179" s="341" t="s">
        <v>336</v>
      </c>
      <c r="D179" s="343">
        <f t="shared" si="5"/>
        <v>242846.7</v>
      </c>
      <c r="E179" s="652">
        <v>222000</v>
      </c>
      <c r="F179" s="681">
        <v>0.17</v>
      </c>
      <c r="G179" s="343">
        <v>235000</v>
      </c>
      <c r="H179" s="635">
        <f t="shared" si="4"/>
        <v>242846.7</v>
      </c>
      <c r="J179" s="961">
        <v>241734.73554830029</v>
      </c>
    </row>
    <row r="180" spans="2:10" ht="15" thickBot="1" x14ac:dyDescent="0.25">
      <c r="B180" s="16"/>
      <c r="C180" s="341" t="s">
        <v>337</v>
      </c>
      <c r="D180" s="343">
        <f t="shared" si="5"/>
        <v>242859.4</v>
      </c>
      <c r="E180" s="652">
        <v>221000</v>
      </c>
      <c r="F180" s="681">
        <v>0.17</v>
      </c>
      <c r="G180" s="343">
        <v>235000</v>
      </c>
      <c r="H180" s="635">
        <f t="shared" si="4"/>
        <v>242859.4</v>
      </c>
      <c r="J180" s="961">
        <v>241747.35969500284</v>
      </c>
    </row>
    <row r="181" spans="2:10" ht="15" thickBot="1" x14ac:dyDescent="0.25">
      <c r="B181" s="16"/>
      <c r="C181" s="341" t="s">
        <v>374</v>
      </c>
      <c r="D181" s="343">
        <f t="shared" si="5"/>
        <v>242859.4</v>
      </c>
      <c r="E181" s="652">
        <v>221000</v>
      </c>
      <c r="F181" s="681">
        <v>0.17</v>
      </c>
      <c r="G181" s="343">
        <v>235000</v>
      </c>
      <c r="H181" s="635">
        <f t="shared" si="4"/>
        <v>242859.4</v>
      </c>
      <c r="J181" s="961">
        <v>241747.35969500284</v>
      </c>
    </row>
    <row r="182" spans="2:10" ht="15" thickBot="1" x14ac:dyDescent="0.25">
      <c r="B182" s="16"/>
      <c r="C182" s="341" t="s">
        <v>375</v>
      </c>
      <c r="D182" s="343">
        <f t="shared" si="5"/>
        <v>240430.3</v>
      </c>
      <c r="E182" s="652">
        <v>222000</v>
      </c>
      <c r="F182" s="681">
        <v>0.17</v>
      </c>
      <c r="G182" s="343">
        <v>235000</v>
      </c>
      <c r="H182" s="635">
        <f t="shared" si="4"/>
        <v>240430.3</v>
      </c>
      <c r="J182" s="961">
        <v>239329.41479657593</v>
      </c>
    </row>
    <row r="183" spans="2:10" ht="15" thickBot="1" x14ac:dyDescent="0.25">
      <c r="B183" s="16"/>
      <c r="C183" s="341" t="s">
        <v>450</v>
      </c>
      <c r="D183" s="343">
        <f t="shared" si="5"/>
        <v>240935.1</v>
      </c>
      <c r="E183" s="652">
        <v>223000</v>
      </c>
      <c r="F183" s="681">
        <v>0.17</v>
      </c>
      <c r="G183" s="343">
        <v>235000</v>
      </c>
      <c r="H183" s="635">
        <f t="shared" si="4"/>
        <v>240935.1</v>
      </c>
      <c r="J183" s="961">
        <v>239831.8558353371</v>
      </c>
    </row>
    <row r="184" spans="2:10" ht="15" thickBot="1" x14ac:dyDescent="0.25">
      <c r="B184" s="16"/>
      <c r="C184" s="341" t="s">
        <v>451</v>
      </c>
      <c r="D184" s="343">
        <f t="shared" si="5"/>
        <v>240935.1</v>
      </c>
      <c r="E184" s="652">
        <v>223000</v>
      </c>
      <c r="F184" s="681">
        <v>0.17</v>
      </c>
      <c r="G184" s="343">
        <v>235000</v>
      </c>
      <c r="H184" s="635">
        <f t="shared" si="4"/>
        <v>240935.1</v>
      </c>
      <c r="J184" s="961">
        <v>239831.8558353371</v>
      </c>
    </row>
    <row r="185" spans="2:10" ht="15" thickBot="1" x14ac:dyDescent="0.25">
      <c r="B185" s="16"/>
      <c r="C185" s="341" t="s">
        <v>338</v>
      </c>
      <c r="D185" s="343">
        <f t="shared" si="5"/>
        <v>240430.3</v>
      </c>
      <c r="E185" s="652">
        <v>222000</v>
      </c>
      <c r="F185" s="681">
        <v>0.17</v>
      </c>
      <c r="G185" s="343">
        <v>235000</v>
      </c>
      <c r="H185" s="635">
        <f t="shared" si="4"/>
        <v>240430.3</v>
      </c>
      <c r="J185" s="961">
        <v>239329.41479657593</v>
      </c>
    </row>
    <row r="186" spans="2:10" ht="15" thickBot="1" x14ac:dyDescent="0.25">
      <c r="B186" s="16"/>
      <c r="C186" s="341" t="s">
        <v>339</v>
      </c>
      <c r="D186" s="343">
        <f t="shared" si="5"/>
        <v>238050.3</v>
      </c>
      <c r="E186" s="652">
        <v>221000</v>
      </c>
      <c r="F186" s="681">
        <v>0.17</v>
      </c>
      <c r="G186" s="343">
        <v>235000</v>
      </c>
      <c r="H186" s="635">
        <f t="shared" si="4"/>
        <v>238050.3</v>
      </c>
      <c r="J186" s="961">
        <v>236960.28326539882</v>
      </c>
    </row>
    <row r="187" spans="2:10" ht="15" thickBot="1" x14ac:dyDescent="0.25">
      <c r="B187" s="16"/>
      <c r="C187" s="341" t="s">
        <v>340</v>
      </c>
      <c r="D187" s="343">
        <f t="shared" si="5"/>
        <v>238050.3</v>
      </c>
      <c r="E187" s="652">
        <v>221000</v>
      </c>
      <c r="F187" s="681">
        <v>0.17</v>
      </c>
      <c r="G187" s="343">
        <v>235000</v>
      </c>
      <c r="H187" s="635">
        <f t="shared" si="4"/>
        <v>238050.3</v>
      </c>
      <c r="J187" s="961">
        <v>236960.28326539882</v>
      </c>
    </row>
    <row r="188" spans="2:10" ht="15" thickBot="1" x14ac:dyDescent="0.25">
      <c r="B188" s="16"/>
      <c r="C188" s="341" t="s">
        <v>341</v>
      </c>
      <c r="D188" s="343">
        <f t="shared" si="5"/>
        <v>242846.7</v>
      </c>
      <c r="E188" s="652">
        <v>222000</v>
      </c>
      <c r="F188" s="681">
        <v>0.17</v>
      </c>
      <c r="G188" s="343">
        <v>235000</v>
      </c>
      <c r="H188" s="635">
        <f t="shared" si="4"/>
        <v>242846.7</v>
      </c>
      <c r="J188" s="961">
        <v>241734.73554830029</v>
      </c>
    </row>
    <row r="189" spans="2:10" ht="15" thickBot="1" x14ac:dyDescent="0.25">
      <c r="B189" s="16"/>
      <c r="C189" s="341" t="s">
        <v>342</v>
      </c>
      <c r="D189" s="343">
        <f t="shared" si="5"/>
        <v>243356.5</v>
      </c>
      <c r="E189" s="652">
        <v>223000</v>
      </c>
      <c r="F189" s="681">
        <v>0.17</v>
      </c>
      <c r="G189" s="343">
        <v>235000</v>
      </c>
      <c r="H189" s="635">
        <f t="shared" si="4"/>
        <v>243356.5</v>
      </c>
      <c r="J189" s="961">
        <v>242242.22624574249</v>
      </c>
    </row>
    <row r="190" spans="2:10" ht="15" thickBot="1" x14ac:dyDescent="0.25">
      <c r="B190" s="16"/>
      <c r="C190" s="341" t="s">
        <v>343</v>
      </c>
      <c r="D190" s="343">
        <f t="shared" si="5"/>
        <v>243356.5</v>
      </c>
      <c r="E190" s="652">
        <v>223000</v>
      </c>
      <c r="F190" s="681">
        <v>0.17</v>
      </c>
      <c r="G190" s="343">
        <v>235000</v>
      </c>
      <c r="H190" s="635">
        <f t="shared" si="4"/>
        <v>243356.5</v>
      </c>
      <c r="J190" s="961">
        <v>242242.22624574249</v>
      </c>
    </row>
    <row r="191" spans="2:10" ht="15" thickBot="1" x14ac:dyDescent="0.25">
      <c r="B191" s="16"/>
      <c r="C191" s="341" t="s">
        <v>344</v>
      </c>
      <c r="D191" s="343">
        <f t="shared" si="5"/>
        <v>242846.7</v>
      </c>
      <c r="E191" s="652">
        <v>222000</v>
      </c>
      <c r="F191" s="681">
        <v>0.17</v>
      </c>
      <c r="G191" s="343">
        <v>235000</v>
      </c>
      <c r="H191" s="635">
        <f t="shared" si="4"/>
        <v>242846.7</v>
      </c>
      <c r="J191" s="961">
        <v>241734.73554830029</v>
      </c>
    </row>
    <row r="192" spans="2:10" ht="15" thickBot="1" x14ac:dyDescent="0.25">
      <c r="B192" s="16"/>
      <c r="C192" s="341" t="s">
        <v>345</v>
      </c>
      <c r="D192" s="343">
        <f t="shared" si="5"/>
        <v>242859.4</v>
      </c>
      <c r="E192" s="652">
        <v>221000</v>
      </c>
      <c r="F192" s="681">
        <v>0.17</v>
      </c>
      <c r="G192" s="343">
        <v>235000</v>
      </c>
      <c r="H192" s="635">
        <f t="shared" si="4"/>
        <v>242859.4</v>
      </c>
      <c r="J192" s="961">
        <v>241747.35969500284</v>
      </c>
    </row>
    <row r="193" spans="2:10" ht="15" thickBot="1" x14ac:dyDescent="0.25">
      <c r="B193" s="16"/>
      <c r="C193" s="341" t="s">
        <v>376</v>
      </c>
      <c r="D193" s="343">
        <f t="shared" si="5"/>
        <v>242859.4</v>
      </c>
      <c r="E193" s="652">
        <v>221000</v>
      </c>
      <c r="F193" s="681">
        <v>0.17</v>
      </c>
      <c r="G193" s="343">
        <v>235000</v>
      </c>
      <c r="H193" s="635">
        <f t="shared" si="4"/>
        <v>242859.4</v>
      </c>
      <c r="J193" s="961">
        <v>241747.35969500284</v>
      </c>
    </row>
    <row r="194" spans="2:10" ht="15" thickBot="1" x14ac:dyDescent="0.25">
      <c r="B194" s="16"/>
      <c r="C194" s="341" t="s">
        <v>377</v>
      </c>
      <c r="D194" s="343">
        <f t="shared" si="5"/>
        <v>240430.3</v>
      </c>
      <c r="E194" s="652">
        <v>222000</v>
      </c>
      <c r="F194" s="681">
        <v>0.17</v>
      </c>
      <c r="G194" s="343">
        <v>235000</v>
      </c>
      <c r="H194" s="635">
        <f t="shared" si="4"/>
        <v>240430.3</v>
      </c>
      <c r="J194" s="961">
        <v>239329.41479657593</v>
      </c>
    </row>
    <row r="195" spans="2:10" ht="15" thickBot="1" x14ac:dyDescent="0.25">
      <c r="B195" s="16"/>
      <c r="C195" s="341" t="s">
        <v>452</v>
      </c>
      <c r="D195" s="343">
        <f t="shared" si="5"/>
        <v>240935.1</v>
      </c>
      <c r="E195" s="652">
        <v>223000</v>
      </c>
      <c r="F195" s="681">
        <v>0.17</v>
      </c>
      <c r="G195" s="343">
        <v>235000</v>
      </c>
      <c r="H195" s="635">
        <f t="shared" si="4"/>
        <v>240935.1</v>
      </c>
      <c r="J195" s="961">
        <v>239831.8558353371</v>
      </c>
    </row>
    <row r="196" spans="2:10" ht="15" thickBot="1" x14ac:dyDescent="0.25">
      <c r="B196" s="16"/>
      <c r="C196" s="341" t="s">
        <v>453</v>
      </c>
      <c r="D196" s="343">
        <f t="shared" si="5"/>
        <v>240935.1</v>
      </c>
      <c r="E196" s="652">
        <v>223000</v>
      </c>
      <c r="F196" s="681">
        <v>0.17</v>
      </c>
      <c r="G196" s="343">
        <v>235000</v>
      </c>
      <c r="H196" s="635">
        <f t="shared" si="4"/>
        <v>240935.1</v>
      </c>
      <c r="J196" s="961">
        <v>239831.8558353371</v>
      </c>
    </row>
    <row r="197" spans="2:10" x14ac:dyDescent="0.2">
      <c r="C197" s="365"/>
      <c r="D197" s="366"/>
      <c r="E197" s="366"/>
      <c r="G197" s="366"/>
    </row>
  </sheetData>
  <sheetProtection algorithmName="SHA-512" hashValue="AD0uf4cin7V0FKE1VrQtXYoXcw2Yqmc8opr/HJ7KFa6EXEz34kRBiYkiMuLAupbdmdDHvPXBTbfxakFKynIAiA==" saltValue="Fv3vCmlYjMl/2xjTy/5ZlA==" spinCount="100000" sheet="1" objects="1" scenarios="1"/>
  <autoFilter ref="A8:L8"/>
  <mergeCells count="4">
    <mergeCell ref="B1:E1"/>
    <mergeCell ref="D3:E3"/>
    <mergeCell ref="B6:B8"/>
    <mergeCell ref="B5:E5"/>
  </mergeCells>
  <phoneticPr fontId="3" type="noConversion"/>
  <conditionalFormatting sqref="H9:H196">
    <cfRule type="cellIs" dxfId="2" priority="3" operator="greaterThan">
      <formula>$I$8</formula>
    </cfRule>
    <cfRule type="cellIs" dxfId="1" priority="4" operator="lessThanOrEqual">
      <formula>$J$8</formula>
    </cfRule>
  </conditionalFormatting>
  <pageMargins left="0.75" right="0.75" top="1" bottom="1" header="0.49212598499999999" footer="0.49212598499999999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0" tint="-0.14999847407452621"/>
    <pageSetUpPr fitToPage="1"/>
  </sheetPr>
  <dimension ref="A1:AA58"/>
  <sheetViews>
    <sheetView showGridLines="0" zoomScale="70" zoomScaleNormal="70" zoomScaleSheetLayoutView="100" workbookViewId="0">
      <selection activeCell="M17" sqref="M17"/>
    </sheetView>
  </sheetViews>
  <sheetFormatPr defaultColWidth="9.7109375" defaultRowHeight="12.75" x14ac:dyDescent="0.2"/>
  <cols>
    <col min="1" max="1" width="1.85546875" style="75" customWidth="1"/>
    <col min="2" max="2" width="7.7109375" style="76" bestFit="1" customWidth="1"/>
    <col min="3" max="3" width="10.28515625" style="77" bestFit="1" customWidth="1"/>
    <col min="4" max="4" width="8.42578125" style="78" customWidth="1"/>
    <col min="5" max="5" width="9.7109375" style="75" customWidth="1"/>
    <col min="6" max="6" width="29.85546875" style="75" customWidth="1"/>
    <col min="7" max="7" width="12" style="75" customWidth="1"/>
    <col min="8" max="8" width="11" style="77" customWidth="1"/>
    <col min="9" max="9" width="1.28515625" style="77" customWidth="1"/>
    <col min="10" max="10" width="23.140625" style="77" customWidth="1"/>
    <col min="11" max="11" width="11" style="75" customWidth="1"/>
    <col min="12" max="12" width="14.5703125" style="75" bestFit="1" customWidth="1"/>
    <col min="13" max="13" width="28" style="75" bestFit="1" customWidth="1"/>
    <col min="14" max="14" width="11.5703125" style="75" bestFit="1" customWidth="1"/>
    <col min="15" max="15" width="24.42578125" style="75" bestFit="1" customWidth="1"/>
    <col min="16" max="16" width="34.85546875" style="75" bestFit="1" customWidth="1"/>
    <col min="17" max="17" width="17.28515625" style="75" bestFit="1" customWidth="1"/>
    <col min="18" max="18" width="9.7109375" style="75" customWidth="1"/>
    <col min="19" max="19" width="30.140625" style="75" bestFit="1" customWidth="1"/>
    <col min="20" max="20" width="14.28515625" style="75" customWidth="1"/>
    <col min="21" max="21" width="9.7109375" style="75" customWidth="1"/>
    <col min="22" max="22" width="23.42578125" style="75" bestFit="1" customWidth="1"/>
    <col min="23" max="26" width="9.7109375" style="75"/>
    <col min="27" max="27" width="21.28515625" style="75" bestFit="1" customWidth="1"/>
    <col min="28" max="16384" width="9.7109375" style="75"/>
  </cols>
  <sheetData>
    <row r="1" spans="1:27" ht="23.25" customHeight="1" x14ac:dyDescent="0.2">
      <c r="J1" s="79" t="s">
        <v>162</v>
      </c>
      <c r="AA1" s="183" t="s">
        <v>191</v>
      </c>
    </row>
    <row r="2" spans="1:27" s="82" customFormat="1" ht="40.5" customHeight="1" thickBot="1" x14ac:dyDescent="0.25">
      <c r="C2" s="107" t="s">
        <v>0</v>
      </c>
      <c r="D2" s="81" t="s">
        <v>2</v>
      </c>
      <c r="F2" s="74" t="s">
        <v>7</v>
      </c>
      <c r="G2" s="83" t="s">
        <v>96</v>
      </c>
      <c r="H2" s="80" t="s">
        <v>97</v>
      </c>
      <c r="I2" s="77"/>
      <c r="J2" s="84" t="s">
        <v>112</v>
      </c>
      <c r="K2" s="75"/>
      <c r="L2" s="876" t="s">
        <v>93</v>
      </c>
      <c r="M2" s="876"/>
      <c r="N2" s="876"/>
      <c r="O2" s="877"/>
      <c r="P2" s="877"/>
      <c r="Q2" s="877"/>
      <c r="S2" s="885" t="s">
        <v>86</v>
      </c>
      <c r="T2" s="885"/>
      <c r="AA2" s="213" t="s">
        <v>217</v>
      </c>
    </row>
    <row r="3" spans="1:27" ht="13.5" thickBot="1" x14ac:dyDescent="0.25">
      <c r="B3" s="367"/>
      <c r="C3" s="325">
        <v>0.01</v>
      </c>
      <c r="D3" s="326">
        <v>0.05</v>
      </c>
      <c r="F3" s="85" t="s">
        <v>4</v>
      </c>
      <c r="G3" s="86">
        <v>240000</v>
      </c>
      <c r="H3" s="87">
        <v>240000</v>
      </c>
      <c r="J3" s="88">
        <f>Apoio!E4</f>
        <v>240000</v>
      </c>
      <c r="L3" s="89"/>
      <c r="M3" s="90"/>
      <c r="N3" s="91"/>
      <c r="O3" s="92">
        <f>'Simulador CEF'!E25</f>
        <v>360</v>
      </c>
      <c r="P3" s="874" t="s">
        <v>94</v>
      </c>
      <c r="Q3" s="875"/>
      <c r="S3" s="94"/>
      <c r="T3" s="94"/>
      <c r="V3" s="889" t="s">
        <v>121</v>
      </c>
      <c r="W3" s="890"/>
      <c r="AA3" s="213" t="s">
        <v>216</v>
      </c>
    </row>
    <row r="4" spans="1:27" s="97" customFormat="1" ht="13.5" thickBot="1" x14ac:dyDescent="0.25">
      <c r="B4" s="367"/>
      <c r="C4" s="325">
        <v>2600</v>
      </c>
      <c r="D4" s="326">
        <v>5.5E-2</v>
      </c>
      <c r="E4" s="95"/>
      <c r="F4" s="85" t="s">
        <v>5</v>
      </c>
      <c r="G4" s="96">
        <v>29000</v>
      </c>
      <c r="H4" s="86">
        <v>27500</v>
      </c>
      <c r="I4" s="77"/>
      <c r="J4" s="891" t="s">
        <v>122</v>
      </c>
      <c r="L4" s="98"/>
      <c r="M4" s="99"/>
      <c r="N4" s="100"/>
      <c r="O4" s="359">
        <f>IF(AND('Simulador CEF'!F31="Não",'Simulador CEF'!H3="TABELA SAC"),J13*0.9,J13*0.8)</f>
        <v>176800</v>
      </c>
      <c r="P4" s="362" t="s">
        <v>455</v>
      </c>
      <c r="Q4" s="102"/>
      <c r="S4" s="103">
        <v>240</v>
      </c>
      <c r="T4" s="104"/>
      <c r="V4" s="105" t="s">
        <v>19</v>
      </c>
      <c r="W4" s="106">
        <f>IF('Simulador CEF'!M18&lt;&gt;0,1,0)</f>
        <v>1</v>
      </c>
    </row>
    <row r="5" spans="1:27" x14ac:dyDescent="0.2">
      <c r="B5" s="367"/>
      <c r="C5" s="325">
        <v>3000</v>
      </c>
      <c r="D5" s="326">
        <v>0.06</v>
      </c>
      <c r="E5" s="95"/>
      <c r="F5" s="85"/>
      <c r="G5" s="86"/>
      <c r="H5" s="107"/>
      <c r="J5" s="892"/>
      <c r="L5" s="98"/>
      <c r="M5" s="99"/>
      <c r="N5" s="100"/>
      <c r="O5" s="101"/>
      <c r="P5" s="102"/>
      <c r="Q5" s="102"/>
      <c r="S5" s="108">
        <v>300</v>
      </c>
      <c r="T5" s="109"/>
    </row>
    <row r="6" spans="1:27" ht="13.5" thickBot="1" x14ac:dyDescent="0.25">
      <c r="B6" s="367"/>
      <c r="C6" s="325">
        <v>4000</v>
      </c>
      <c r="D6" s="326">
        <v>7.0000000000000007E-2</v>
      </c>
      <c r="E6" s="95"/>
      <c r="F6" s="85"/>
      <c r="G6" s="86"/>
      <c r="H6" s="110"/>
      <c r="J6" s="61">
        <f>'Simulador CEF'!E19</f>
        <v>5800</v>
      </c>
      <c r="L6" s="98"/>
      <c r="M6" s="99"/>
      <c r="N6" s="100"/>
      <c r="O6" s="101">
        <f ca="1">IF('Simulador CEF'!H3="Tabela SAC",((M17)/((1/J19)+('Premissas e Calculos'!J9/12))),M17*(((J9/12)+1)^J19-1)/((J9/12)*(1+(J9/12))^J19))</f>
        <v>233339.71751395639</v>
      </c>
      <c r="P6" s="102" t="s">
        <v>18</v>
      </c>
      <c r="Q6" s="102"/>
      <c r="S6" s="111">
        <f>IF('Premissas e Calculos'!J6&lt;=2790,"",360)</f>
        <v>360</v>
      </c>
      <c r="T6" s="112"/>
    </row>
    <row r="7" spans="1:27" x14ac:dyDescent="0.2">
      <c r="B7" s="368"/>
      <c r="C7" s="325">
        <v>7000</v>
      </c>
      <c r="D7" s="326">
        <v>8.1600000000000006E-2</v>
      </c>
      <c r="E7" s="95"/>
      <c r="F7" s="113"/>
      <c r="G7" s="107"/>
      <c r="H7" s="107"/>
      <c r="J7" s="878" t="s">
        <v>132</v>
      </c>
      <c r="L7" s="98"/>
      <c r="M7" s="99"/>
      <c r="N7" s="114"/>
      <c r="O7" s="115"/>
      <c r="P7" s="102"/>
      <c r="Q7" s="102"/>
      <c r="S7" s="116" t="s">
        <v>88</v>
      </c>
      <c r="T7" s="117" t="s">
        <v>87</v>
      </c>
    </row>
    <row r="8" spans="1:27" ht="13.5" thickBot="1" x14ac:dyDescent="0.25">
      <c r="B8" s="369"/>
      <c r="C8" s="370"/>
      <c r="D8" s="371"/>
      <c r="E8" s="95"/>
      <c r="F8" s="118"/>
      <c r="G8" s="119"/>
      <c r="H8" s="107"/>
      <c r="J8" s="878"/>
      <c r="L8" s="120"/>
      <c r="M8" s="121"/>
      <c r="N8" s="122"/>
      <c r="O8" s="93">
        <f>J19</f>
        <v>360</v>
      </c>
      <c r="P8" s="870" t="s">
        <v>110</v>
      </c>
      <c r="Q8" s="871"/>
      <c r="S8" s="105">
        <f>IF(AND('Premissas e Calculos'!J6&lt;=G14,T8=3),2,T8)</f>
        <v>2</v>
      </c>
      <c r="T8" s="123">
        <v>3</v>
      </c>
    </row>
    <row r="9" spans="1:27" s="97" customFormat="1" x14ac:dyDescent="0.2">
      <c r="A9" s="75"/>
      <c r="B9" s="76"/>
      <c r="C9" s="77"/>
      <c r="D9" s="78"/>
      <c r="E9" s="95"/>
      <c r="F9" s="118"/>
      <c r="G9" s="119"/>
      <c r="H9" s="107"/>
      <c r="I9" s="77"/>
      <c r="J9" s="62">
        <f>IF(J6&lt;=C4,D4,IF(J6&lt;=C5,D5,IF(J6&lt;=C6,D6,IF(J6&lt;=C7,D7,IF(J6&lt;=C8,D8,7.8%)))))</f>
        <v>8.1600000000000006E-2</v>
      </c>
      <c r="K9" s="57"/>
      <c r="L9" s="124"/>
      <c r="M9" s="125"/>
      <c r="N9" s="125"/>
      <c r="O9" s="126">
        <f>IF('Simulador CEF'!$H$3="TABELA SAC",80%,80%)</f>
        <v>0.8</v>
      </c>
      <c r="P9" s="872"/>
      <c r="Q9" s="873"/>
      <c r="S9" s="9"/>
      <c r="T9" s="9"/>
    </row>
    <row r="10" spans="1:27" ht="13.5" thickBot="1" x14ac:dyDescent="0.25">
      <c r="E10" s="95"/>
      <c r="F10" s="118"/>
      <c r="G10" s="127"/>
      <c r="H10" s="107"/>
      <c r="J10" s="128" t="s">
        <v>17</v>
      </c>
      <c r="L10" s="879"/>
      <c r="M10" s="880"/>
      <c r="N10" s="881"/>
      <c r="O10" s="129">
        <f ca="1">SMALL(O4:O7,1)</f>
        <v>176800</v>
      </c>
      <c r="S10" s="9"/>
      <c r="T10" s="9"/>
    </row>
    <row r="11" spans="1:27" x14ac:dyDescent="0.2">
      <c r="E11" s="95"/>
      <c r="F11" s="602" t="s">
        <v>3</v>
      </c>
      <c r="G11" s="603">
        <v>5.9499999999999997E-2</v>
      </c>
      <c r="H11" s="603">
        <f>G11</f>
        <v>5.9499999999999997E-2</v>
      </c>
      <c r="J11" s="131">
        <f>'Simulador CEF'!M8</f>
        <v>242859.4</v>
      </c>
      <c r="O11" s="509"/>
      <c r="P11" s="509"/>
      <c r="Q11" s="509"/>
      <c r="S11" s="132"/>
      <c r="T11" s="73"/>
    </row>
    <row r="12" spans="1:27" ht="25.5" x14ac:dyDescent="0.2">
      <c r="B12" s="378" t="s">
        <v>348</v>
      </c>
      <c r="C12" s="378" t="s">
        <v>349</v>
      </c>
      <c r="E12" s="95"/>
      <c r="F12" s="85" t="s">
        <v>6</v>
      </c>
      <c r="G12" s="130">
        <v>0.3</v>
      </c>
      <c r="H12" s="130">
        <f>G12</f>
        <v>0.3</v>
      </c>
      <c r="J12" s="128" t="s">
        <v>16</v>
      </c>
      <c r="O12" s="510"/>
      <c r="P12" s="509"/>
      <c r="Q12" s="509"/>
      <c r="S12" s="133"/>
      <c r="T12" s="73"/>
    </row>
    <row r="13" spans="1:27" s="97" customFormat="1" ht="25.5" x14ac:dyDescent="0.2">
      <c r="A13" s="75"/>
      <c r="B13" s="379"/>
      <c r="C13" s="379">
        <v>0.5</v>
      </c>
      <c r="D13" s="78"/>
      <c r="E13" s="95"/>
      <c r="F13" s="85" t="s">
        <v>9</v>
      </c>
      <c r="G13" s="134">
        <v>998</v>
      </c>
      <c r="H13" s="134">
        <f>SM</f>
        <v>998</v>
      </c>
      <c r="I13" s="77"/>
      <c r="J13" s="131">
        <f>VLOOKUP('Simulador CEF'!H8,Apoio!C9:E197,3,FALSE)</f>
        <v>221000</v>
      </c>
      <c r="K13" s="75"/>
      <c r="M13" s="154"/>
      <c r="O13" s="531" t="s">
        <v>399</v>
      </c>
      <c r="P13" s="511"/>
      <c r="Q13" s="512"/>
      <c r="S13" s="364"/>
      <c r="T13" s="9"/>
    </row>
    <row r="14" spans="1:27" x14ac:dyDescent="0.2">
      <c r="B14" s="107">
        <v>29000</v>
      </c>
      <c r="C14" s="107">
        <f>B14*$C$13</f>
        <v>14500</v>
      </c>
      <c r="E14" s="95"/>
      <c r="F14" s="136" t="s">
        <v>85</v>
      </c>
      <c r="G14" s="137">
        <f>6*G13</f>
        <v>5988</v>
      </c>
      <c r="H14" s="137">
        <f>G14</f>
        <v>5988</v>
      </c>
      <c r="J14" s="138"/>
      <c r="L14" s="361"/>
      <c r="O14" s="534">
        <v>420</v>
      </c>
      <c r="P14" s="513"/>
      <c r="Q14" s="509"/>
      <c r="S14" s="9"/>
      <c r="T14" s="9"/>
    </row>
    <row r="15" spans="1:27" ht="18" x14ac:dyDescent="0.2">
      <c r="B15" s="107">
        <v>14775</v>
      </c>
      <c r="C15" s="107">
        <f>B15*$C$13</f>
        <v>7387.5</v>
      </c>
      <c r="E15" s="95"/>
      <c r="F15" s="136" t="s">
        <v>95</v>
      </c>
      <c r="G15" s="139">
        <v>0.06</v>
      </c>
      <c r="H15" s="139">
        <f>INCC</f>
        <v>0.06</v>
      </c>
      <c r="J15" s="878" t="s">
        <v>111</v>
      </c>
      <c r="O15" s="532" t="s">
        <v>400</v>
      </c>
      <c r="P15" s="514"/>
      <c r="Q15" s="514"/>
    </row>
    <row r="16" spans="1:27" ht="18" x14ac:dyDescent="0.2">
      <c r="B16" s="107">
        <v>6115</v>
      </c>
      <c r="C16" s="107">
        <f>B16*$C$13</f>
        <v>3057.5</v>
      </c>
      <c r="E16" s="95"/>
      <c r="F16" s="136" t="s">
        <v>14</v>
      </c>
      <c r="G16" s="139">
        <v>0.8</v>
      </c>
      <c r="H16" s="139">
        <f>OBRA_VGV</f>
        <v>0.8</v>
      </c>
      <c r="J16" s="878"/>
      <c r="L16" s="102" t="s">
        <v>91</v>
      </c>
      <c r="M16" s="102" t="s">
        <v>92</v>
      </c>
      <c r="O16" s="533">
        <f ca="1">IF('Simulador CEF'!CI90+O14+J28&lt;=972,O14,(972-'Simulador CEF'!CI90-J28))</f>
        <v>420</v>
      </c>
      <c r="P16" s="515"/>
      <c r="Q16" s="515"/>
    </row>
    <row r="17" spans="1:20" x14ac:dyDescent="0.2">
      <c r="B17" s="107">
        <v>2585</v>
      </c>
      <c r="C17" s="107">
        <f>B17*$C$13</f>
        <v>1292.5</v>
      </c>
      <c r="E17" s="95"/>
      <c r="F17" s="140" t="s">
        <v>1</v>
      </c>
      <c r="G17" s="601">
        <f>IF(OR('Simulador CEF'!E21=2,'Simulador CEF'!E22="SIM"),IF(J6&lt;=1800,B14,IF(J6&lt;2349.99,B14-(B14-B15)*(J6-1800)/550,IF(J6&lt;2789.99,B15-(B15-B16)*(J6-2350)/440,IF(J6&lt;3274.99,B16-(B16-B17)*(J6-2790)/485,IF(J6&lt;=4000,B17,0))))),IF('Simulador CEF'!E21=1,IF(J6&lt;=1800,C14,IF(J6&lt;2349.99,C14-(C14-C15)*(J6-1800)/550,IF(J6&lt;2789.99,C15-(C15-C16)*(J6-2350)/440,IF(J6&lt;3274.99,C16-(C16-C17)*(J6-2790)/485,IF(J6&lt;=4000,C17,0)))))))</f>
        <v>0</v>
      </c>
      <c r="H17" s="601">
        <f>G17</f>
        <v>0</v>
      </c>
      <c r="J17" s="141">
        <f>IF('Simulador CEF'!F31="sim",IF(AND(J11*(1-G29)&lt;=J3,J13&lt;=J3),IF(J3=VMI,G17,H17),0),0)</f>
        <v>0</v>
      </c>
      <c r="L17" s="142">
        <f ca="1">((J6*'Premissas e Calculos'!G12)-IF(J6&gt;2790,H19,0))/(1+Q32)</f>
        <v>1738.2617382617384</v>
      </c>
      <c r="M17" s="143">
        <f ca="1">IF(J6&lt;='Premissas e Calculos'!G20,'Premissas e Calculos'!L17,'Premissas e Calculos'!L17-'Premissas e Calculos'!G19)</f>
        <v>1738.2617382617384</v>
      </c>
      <c r="O17" s="509"/>
      <c r="P17" s="516"/>
      <c r="Q17" s="516"/>
    </row>
    <row r="18" spans="1:20" ht="25.5" customHeight="1" x14ac:dyDescent="0.2">
      <c r="E18" s="95"/>
      <c r="J18" s="128" t="s">
        <v>101</v>
      </c>
      <c r="L18" s="887" t="s">
        <v>143</v>
      </c>
      <c r="M18" s="888"/>
      <c r="O18" s="509"/>
      <c r="P18" s="513"/>
      <c r="Q18" s="517"/>
    </row>
    <row r="19" spans="1:20" s="97" customFormat="1" x14ac:dyDescent="0.2">
      <c r="A19" s="75"/>
      <c r="B19" s="76"/>
      <c r="C19" s="77"/>
      <c r="D19" s="78"/>
      <c r="E19" s="95"/>
      <c r="F19" s="134" t="s">
        <v>119</v>
      </c>
      <c r="G19" s="134">
        <v>0</v>
      </c>
      <c r="H19" s="134">
        <v>0</v>
      </c>
      <c r="I19" s="77"/>
      <c r="J19" s="144">
        <f>O3</f>
        <v>360</v>
      </c>
      <c r="K19" s="75"/>
      <c r="L19" s="145">
        <f>J6*0.9*G12</f>
        <v>1566</v>
      </c>
      <c r="M19" s="145">
        <f>IF(J6&lt;='Premissas e Calculos'!G20,'Premissas e Calculos'!L19,'Premissas e Calculos'!L19-'Premissas e Calculos'!G19)+J33*70%/12</f>
        <v>1612.6666666666667</v>
      </c>
      <c r="O19" s="512"/>
      <c r="P19" s="512"/>
      <c r="Q19" s="512"/>
    </row>
    <row r="20" spans="1:20" x14ac:dyDescent="0.2">
      <c r="E20" s="95"/>
      <c r="F20" s="134" t="s">
        <v>120</v>
      </c>
      <c r="G20" s="146">
        <f>G14</f>
        <v>5988</v>
      </c>
      <c r="H20" s="146">
        <f>G20</f>
        <v>5988</v>
      </c>
      <c r="J20" s="128" t="s">
        <v>8</v>
      </c>
      <c r="O20" s="509"/>
      <c r="P20" s="509"/>
      <c r="Q20" s="509"/>
      <c r="T20" s="363"/>
    </row>
    <row r="21" spans="1:20" x14ac:dyDescent="0.2">
      <c r="E21" s="95"/>
      <c r="J21" s="147">
        <f>'Simulador CEF'!M18</f>
        <v>15000</v>
      </c>
      <c r="O21" s="509"/>
      <c r="P21" s="509"/>
      <c r="Q21" s="509"/>
    </row>
    <row r="22" spans="1:20" ht="31.5" customHeight="1" x14ac:dyDescent="0.2">
      <c r="E22" s="95"/>
      <c r="J22" s="148"/>
      <c r="O22" s="187" t="s">
        <v>194</v>
      </c>
      <c r="P22" s="187" t="s">
        <v>195</v>
      </c>
      <c r="Q22" s="187" t="s">
        <v>196</v>
      </c>
      <c r="R22" s="187" t="s">
        <v>15</v>
      </c>
    </row>
    <row r="23" spans="1:20" x14ac:dyDescent="0.2">
      <c r="E23" s="95"/>
      <c r="J23" s="148"/>
      <c r="O23" s="188">
        <v>0</v>
      </c>
      <c r="P23" s="189">
        <v>0.1</v>
      </c>
      <c r="Q23" s="189">
        <v>0</v>
      </c>
      <c r="R23" s="189">
        <f>Q23+P23</f>
        <v>0.1</v>
      </c>
    </row>
    <row r="24" spans="1:20" x14ac:dyDescent="0.2">
      <c r="E24" s="95"/>
      <c r="J24" s="128" t="s">
        <v>159</v>
      </c>
      <c r="L24" s="149"/>
      <c r="M24" s="149"/>
      <c r="N24" s="149"/>
      <c r="O24" s="188">
        <f>25 + 1/10^6</f>
        <v>25.000001000000001</v>
      </c>
      <c r="P24" s="189">
        <v>0.1</v>
      </c>
      <c r="Q24" s="189">
        <v>0</v>
      </c>
      <c r="R24" s="189">
        <f t="shared" ref="R24:R29" si="0">Q24+P24</f>
        <v>0.1</v>
      </c>
    </row>
    <row r="25" spans="1:20" s="97" customFormat="1" x14ac:dyDescent="0.2">
      <c r="A25" s="75"/>
      <c r="B25" s="76"/>
      <c r="C25" s="77"/>
      <c r="D25" s="78"/>
      <c r="E25" s="95"/>
      <c r="F25" s="869" t="s">
        <v>148</v>
      </c>
      <c r="G25" s="882">
        <v>0.04</v>
      </c>
      <c r="H25" s="150"/>
      <c r="I25" s="77"/>
      <c r="J25" s="151">
        <f>MINA(J11*(1-G25)-J17,J13)</f>
        <v>221000</v>
      </c>
      <c r="K25" s="75"/>
      <c r="L25" s="135"/>
      <c r="M25" s="135"/>
      <c r="N25" s="135"/>
      <c r="O25" s="188">
        <f>30+ 1/10^6</f>
        <v>30.000001000000001</v>
      </c>
      <c r="P25" s="189">
        <v>0.11</v>
      </c>
      <c r="Q25" s="189">
        <v>0</v>
      </c>
      <c r="R25" s="189">
        <f t="shared" si="0"/>
        <v>0.11</v>
      </c>
    </row>
    <row r="26" spans="1:20" ht="23.25" x14ac:dyDescent="0.2">
      <c r="F26" s="869"/>
      <c r="G26" s="883"/>
      <c r="J26" s="148"/>
      <c r="L26" s="156"/>
      <c r="M26" s="186"/>
      <c r="N26" s="186"/>
      <c r="O26" s="188">
        <f>35+ 1/10^6</f>
        <v>35.000000999999997</v>
      </c>
      <c r="P26" s="190">
        <v>0.25</v>
      </c>
      <c r="Q26" s="189">
        <v>0</v>
      </c>
      <c r="R26" s="189">
        <f t="shared" si="0"/>
        <v>0.25</v>
      </c>
      <c r="S26" s="382"/>
    </row>
    <row r="27" spans="1:20" x14ac:dyDescent="0.2">
      <c r="F27" s="869"/>
      <c r="G27" s="884"/>
      <c r="J27" s="128" t="s">
        <v>160</v>
      </c>
      <c r="L27" s="156"/>
      <c r="M27" s="149"/>
      <c r="N27" s="149"/>
      <c r="O27" s="188">
        <f>40+ 1/10^6</f>
        <v>40.000000999999997</v>
      </c>
      <c r="P27" s="190">
        <v>0.34</v>
      </c>
      <c r="Q27" s="189">
        <v>0</v>
      </c>
      <c r="R27" s="189">
        <f t="shared" si="0"/>
        <v>0.34</v>
      </c>
    </row>
    <row r="28" spans="1:20" x14ac:dyDescent="0.2">
      <c r="J28" s="147">
        <v>36</v>
      </c>
      <c r="L28" s="149"/>
      <c r="M28" s="381"/>
      <c r="N28" s="149"/>
      <c r="O28" s="188">
        <f>45+ 1/10^6</f>
        <v>45.000000999999997</v>
      </c>
      <c r="P28" s="189">
        <v>0.37009999999999998</v>
      </c>
      <c r="Q28" s="189">
        <v>0</v>
      </c>
      <c r="R28" s="189">
        <f t="shared" si="0"/>
        <v>0.37009999999999998</v>
      </c>
    </row>
    <row r="29" spans="1:20" s="97" customFormat="1" x14ac:dyDescent="0.2">
      <c r="A29" s="75"/>
      <c r="B29" s="76"/>
      <c r="C29" s="77"/>
      <c r="D29" s="78"/>
      <c r="F29" s="604" t="s">
        <v>3</v>
      </c>
      <c r="G29" s="605">
        <f>G11</f>
        <v>5.9499999999999997E-2</v>
      </c>
      <c r="H29" s="150"/>
      <c r="I29" s="77"/>
      <c r="J29" s="152" t="s">
        <v>13</v>
      </c>
      <c r="K29" s="75"/>
      <c r="O29" s="188">
        <v>50</v>
      </c>
      <c r="P29" s="189">
        <v>0.37009999999999998</v>
      </c>
      <c r="Q29" s="189">
        <v>0</v>
      </c>
      <c r="R29" s="189">
        <f t="shared" si="0"/>
        <v>0.37009999999999998</v>
      </c>
      <c r="T29" s="97">
        <f>2019-46</f>
        <v>1973</v>
      </c>
    </row>
    <row r="30" spans="1:20" x14ac:dyDescent="0.2">
      <c r="J30" s="147">
        <v>4</v>
      </c>
    </row>
    <row r="31" spans="1:20" x14ac:dyDescent="0.2">
      <c r="J31" s="148"/>
      <c r="O31" s="895" t="s">
        <v>379</v>
      </c>
      <c r="P31" s="896"/>
      <c r="Q31" s="187" t="s">
        <v>197</v>
      </c>
      <c r="R31" s="187" t="s">
        <v>198</v>
      </c>
    </row>
    <row r="32" spans="1:20" ht="25.5" x14ac:dyDescent="0.2">
      <c r="F32" s="153" t="s">
        <v>168</v>
      </c>
      <c r="G32" s="210">
        <v>1</v>
      </c>
      <c r="J32" s="494" t="s">
        <v>395</v>
      </c>
      <c r="O32" s="893">
        <f ca="1">YEAR(TODAY())-'Simulador CEF'!G20</f>
        <v>21</v>
      </c>
      <c r="P32" s="894"/>
      <c r="Q32" s="192">
        <f ca="1">IF(O32&lt;O24,R23,IF(O32&lt;O25,R24,IF(O32&lt;O26,R25,IF(O32&lt;O27,R26,IF(O32&lt;O28,R27,IF(O32&lt;O29,R28,R29))))))/100</f>
        <v>1E-3</v>
      </c>
      <c r="R32" s="191">
        <f ca="1">(J6*'Premissas e Calculos'!G12)*Q32</f>
        <v>1.74</v>
      </c>
    </row>
    <row r="33" spans="1:18" ht="51" customHeight="1" x14ac:dyDescent="0.2">
      <c r="J33" s="495">
        <v>800</v>
      </c>
      <c r="O33" s="886" t="s">
        <v>199</v>
      </c>
      <c r="P33" s="886"/>
      <c r="Q33" s="886"/>
      <c r="R33" s="886"/>
    </row>
    <row r="34" spans="1:18" s="97" customFormat="1" x14ac:dyDescent="0.2">
      <c r="A34" s="75"/>
      <c r="B34" s="76"/>
      <c r="C34" s="77"/>
      <c r="D34" s="78"/>
      <c r="E34" s="154"/>
      <c r="H34" s="150"/>
      <c r="I34" s="77"/>
      <c r="J34" s="376"/>
      <c r="K34" s="75"/>
      <c r="M34" s="75"/>
    </row>
    <row r="35" spans="1:18" ht="25.5" customHeight="1" x14ac:dyDescent="0.2">
      <c r="F35" s="153" t="s">
        <v>172</v>
      </c>
      <c r="G35" s="155">
        <v>0.3</v>
      </c>
      <c r="J35" s="375"/>
    </row>
    <row r="36" spans="1:18" x14ac:dyDescent="0.2">
      <c r="J36" s="375"/>
    </row>
    <row r="37" spans="1:18" x14ac:dyDescent="0.2">
      <c r="J37" s="375"/>
    </row>
    <row r="38" spans="1:18" x14ac:dyDescent="0.2">
      <c r="F38" s="184" t="s">
        <v>190</v>
      </c>
      <c r="G38" s="218">
        <f ca="1">EOMONTH(TODAY(),0)</f>
        <v>43830</v>
      </c>
      <c r="J38" s="375"/>
    </row>
    <row r="39" spans="1:18" s="97" customFormat="1" x14ac:dyDescent="0.2">
      <c r="A39" s="75"/>
      <c r="B39" s="76"/>
      <c r="C39" s="77"/>
      <c r="D39" s="78"/>
      <c r="H39" s="150"/>
      <c r="I39" s="77"/>
      <c r="J39" s="376"/>
      <c r="K39" s="75"/>
      <c r="M39" s="75"/>
    </row>
    <row r="40" spans="1:18" x14ac:dyDescent="0.2">
      <c r="J40" s="375"/>
    </row>
    <row r="41" spans="1:18" x14ac:dyDescent="0.2">
      <c r="J41" s="375"/>
    </row>
    <row r="42" spans="1:18" x14ac:dyDescent="0.2">
      <c r="J42" s="375"/>
    </row>
    <row r="43" spans="1:18" x14ac:dyDescent="0.2">
      <c r="J43" s="375"/>
    </row>
    <row r="44" spans="1:18" x14ac:dyDescent="0.2">
      <c r="J44" s="375"/>
    </row>
    <row r="45" spans="1:18" x14ac:dyDescent="0.2">
      <c r="J45" s="375"/>
    </row>
    <row r="46" spans="1:18" x14ac:dyDescent="0.2">
      <c r="J46" s="375"/>
    </row>
    <row r="47" spans="1:18" x14ac:dyDescent="0.2">
      <c r="J47" s="375"/>
    </row>
    <row r="48" spans="1:18" x14ac:dyDescent="0.2">
      <c r="J48" s="375"/>
    </row>
    <row r="49" spans="10:11" x14ac:dyDescent="0.2">
      <c r="J49" s="375"/>
    </row>
    <row r="58" spans="10:11" x14ac:dyDescent="0.2">
      <c r="K58" s="185"/>
    </row>
  </sheetData>
  <mergeCells count="15">
    <mergeCell ref="S2:T2"/>
    <mergeCell ref="O33:R33"/>
    <mergeCell ref="L18:M18"/>
    <mergeCell ref="V3:W3"/>
    <mergeCell ref="J4:J5"/>
    <mergeCell ref="J7:J8"/>
    <mergeCell ref="O32:P32"/>
    <mergeCell ref="O31:P31"/>
    <mergeCell ref="F25:F27"/>
    <mergeCell ref="P8:Q9"/>
    <mergeCell ref="P3:Q3"/>
    <mergeCell ref="L2:Q2"/>
    <mergeCell ref="J15:J16"/>
    <mergeCell ref="L10:N10"/>
    <mergeCell ref="G25:G27"/>
  </mergeCells>
  <phoneticPr fontId="2" type="noConversion"/>
  <printOptions horizontalCentered="1"/>
  <pageMargins left="0.11811023622047245" right="0.11811023622047245" top="0.26" bottom="0.11811023622047245" header="0.11811023622047245" footer="3.937007874015748E-2"/>
  <pageSetup scale="83" orientation="landscape" r:id="rId1"/>
  <headerFooter alignWithMargins="0"/>
  <ignoredErrors>
    <ignoredError sqref="H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pageSetUpPr fitToPage="1"/>
  </sheetPr>
  <dimension ref="A1:AA88"/>
  <sheetViews>
    <sheetView showGridLines="0" topLeftCell="A7" zoomScale="80" zoomScaleNormal="80" workbookViewId="0">
      <selection activeCell="M17" sqref="M17"/>
    </sheetView>
  </sheetViews>
  <sheetFormatPr defaultRowHeight="12.75" x14ac:dyDescent="0.2"/>
  <cols>
    <col min="1" max="1" width="2" style="317" customWidth="1"/>
    <col min="2" max="2" width="2.85546875" style="219" customWidth="1"/>
    <col min="3" max="3" width="7.7109375" style="219" customWidth="1"/>
    <col min="4" max="4" width="11.28515625" style="219" customWidth="1"/>
    <col min="5" max="5" width="9.5703125" style="219" bestFit="1" customWidth="1"/>
    <col min="6" max="6" width="10.140625" style="219" bestFit="1" customWidth="1"/>
    <col min="7" max="7" width="15.5703125" style="219" customWidth="1"/>
    <col min="8" max="13" width="15.7109375" style="219" customWidth="1"/>
    <col min="14" max="15" width="9.28515625" style="219" customWidth="1"/>
    <col min="16" max="16" width="20.7109375" style="219" bestFit="1" customWidth="1"/>
    <col min="17" max="17" width="13.5703125" style="219" bestFit="1" customWidth="1"/>
    <col min="18" max="18" width="12.85546875" style="219" bestFit="1" customWidth="1"/>
    <col min="19" max="19" width="22.85546875" style="219" bestFit="1" customWidth="1"/>
    <col min="20" max="16384" width="9.140625" style="219"/>
  </cols>
  <sheetData>
    <row r="1" spans="1:27" ht="15.75" x14ac:dyDescent="0.25">
      <c r="A1" s="219" t="s">
        <v>20</v>
      </c>
      <c r="E1" s="220" t="s">
        <v>21</v>
      </c>
      <c r="F1" s="221"/>
      <c r="G1" s="221"/>
      <c r="H1" s="221"/>
      <c r="I1" s="221"/>
      <c r="J1" s="221"/>
      <c r="K1" s="221"/>
      <c r="L1" s="221"/>
      <c r="M1" s="221"/>
    </row>
    <row r="2" spans="1:27" ht="15.75" x14ac:dyDescent="0.25">
      <c r="A2" s="219" t="s">
        <v>20</v>
      </c>
      <c r="E2" s="220" t="s">
        <v>22</v>
      </c>
      <c r="F2" s="221"/>
      <c r="G2" s="221"/>
      <c r="H2" s="221"/>
      <c r="I2" s="221"/>
      <c r="J2" s="221"/>
      <c r="K2" s="221"/>
      <c r="L2" s="221"/>
      <c r="M2" s="221"/>
    </row>
    <row r="3" spans="1:27" ht="15.75" x14ac:dyDescent="0.25">
      <c r="A3" s="219" t="s">
        <v>20</v>
      </c>
      <c r="L3" s="918">
        <f ca="1">NOW()</f>
        <v>43802.640795833337</v>
      </c>
      <c r="M3" s="918"/>
      <c r="N3" s="911" t="s">
        <v>23</v>
      </c>
      <c r="O3" s="911"/>
    </row>
    <row r="4" spans="1:27" ht="15.75" thickBot="1" x14ac:dyDescent="0.25">
      <c r="A4" s="219" t="s">
        <v>20</v>
      </c>
      <c r="L4" s="222"/>
      <c r="M4" s="222"/>
      <c r="N4" s="223"/>
      <c r="O4" s="223"/>
    </row>
    <row r="5" spans="1:27" ht="15.75" thickTop="1" x14ac:dyDescent="0.2">
      <c r="A5" s="219" t="s">
        <v>20</v>
      </c>
      <c r="E5" s="224" t="s">
        <v>24</v>
      </c>
      <c r="F5" s="225"/>
      <c r="G5" s="226" t="e">
        <f>'Simulador CEF'!H6:L6</f>
        <v>#VALUE!</v>
      </c>
      <c r="H5" s="226"/>
      <c r="I5" s="227"/>
      <c r="J5" s="228" t="s">
        <v>25</v>
      </c>
      <c r="K5" s="225"/>
      <c r="L5" s="229" t="s">
        <v>26</v>
      </c>
      <c r="M5" s="230"/>
      <c r="N5" s="223"/>
      <c r="O5" s="223"/>
      <c r="Y5" s="219" t="s">
        <v>27</v>
      </c>
      <c r="Z5" s="219" t="s">
        <v>28</v>
      </c>
      <c r="AA5" s="219" t="s">
        <v>29</v>
      </c>
    </row>
    <row r="6" spans="1:27" ht="15" x14ac:dyDescent="0.2">
      <c r="A6" s="219" t="s">
        <v>20</v>
      </c>
      <c r="E6" s="231" t="s">
        <v>30</v>
      </c>
      <c r="F6" s="232"/>
      <c r="G6" s="232"/>
      <c r="H6" s="232"/>
      <c r="I6" s="233"/>
      <c r="J6" s="232" t="s">
        <v>31</v>
      </c>
      <c r="K6" s="232"/>
      <c r="L6" s="234"/>
      <c r="M6" s="235"/>
      <c r="N6" s="223"/>
      <c r="O6" s="223"/>
      <c r="Y6" s="219" t="s">
        <v>32</v>
      </c>
      <c r="Z6" s="219" t="s">
        <v>33</v>
      </c>
      <c r="AA6" s="219" t="s">
        <v>34</v>
      </c>
    </row>
    <row r="7" spans="1:27" ht="15" x14ac:dyDescent="0.2">
      <c r="A7" s="219" t="s">
        <v>20</v>
      </c>
      <c r="E7" s="231" t="s">
        <v>35</v>
      </c>
      <c r="F7" s="232"/>
      <c r="G7" s="236"/>
      <c r="H7" s="232"/>
      <c r="I7" s="233"/>
      <c r="J7" s="232" t="s">
        <v>36</v>
      </c>
      <c r="K7" s="232"/>
      <c r="L7" s="234"/>
      <c r="M7" s="235"/>
      <c r="N7" s="223"/>
      <c r="O7" s="223"/>
      <c r="Y7" s="219" t="s">
        <v>37</v>
      </c>
      <c r="AA7" s="219" t="s">
        <v>38</v>
      </c>
    </row>
    <row r="8" spans="1:27" ht="15.75" thickBot="1" x14ac:dyDescent="0.25">
      <c r="A8" s="219" t="s">
        <v>20</v>
      </c>
      <c r="E8" s="237"/>
      <c r="F8" s="238"/>
      <c r="G8" s="238"/>
      <c r="H8" s="238"/>
      <c r="I8" s="239"/>
      <c r="J8" s="240" t="s">
        <v>83</v>
      </c>
      <c r="K8" s="232"/>
      <c r="L8" s="234"/>
      <c r="M8" s="235"/>
      <c r="N8" s="223"/>
      <c r="O8" s="223"/>
      <c r="Y8" s="219" t="s">
        <v>39</v>
      </c>
      <c r="AA8" s="219" t="s">
        <v>40</v>
      </c>
    </row>
    <row r="9" spans="1:27" ht="16.5" thickTop="1" x14ac:dyDescent="0.25">
      <c r="A9" s="219" t="s">
        <v>20</v>
      </c>
      <c r="E9" s="231" t="s">
        <v>41</v>
      </c>
      <c r="F9" s="232"/>
      <c r="G9" s="338">
        <v>42767</v>
      </c>
      <c r="H9" s="224" t="s">
        <v>42</v>
      </c>
      <c r="I9" s="242">
        <v>0.09</v>
      </c>
      <c r="J9" s="224" t="s">
        <v>43</v>
      </c>
      <c r="K9" s="373">
        <f>G11</f>
        <v>44682</v>
      </c>
      <c r="L9" s="919" t="s">
        <v>84</v>
      </c>
      <c r="M9" s="920"/>
      <c r="Y9" s="219" t="s">
        <v>44</v>
      </c>
    </row>
    <row r="10" spans="1:27" ht="15" x14ac:dyDescent="0.2">
      <c r="A10" s="219" t="s">
        <v>20</v>
      </c>
      <c r="E10" s="231" t="s">
        <v>45</v>
      </c>
      <c r="F10" s="232"/>
      <c r="G10" s="241" t="e">
        <f>'Simulador CEF'!#REF!</f>
        <v>#REF!</v>
      </c>
      <c r="H10" s="231" t="s">
        <v>46</v>
      </c>
      <c r="I10" s="243">
        <v>0.12</v>
      </c>
      <c r="J10" s="231" t="s">
        <v>47</v>
      </c>
      <c r="K10" s="374">
        <f>G11</f>
        <v>44682</v>
      </c>
      <c r="L10" s="244"/>
      <c r="M10" s="245"/>
    </row>
    <row r="11" spans="1:27" ht="15.75" thickBot="1" x14ac:dyDescent="0.25">
      <c r="A11" s="219" t="s">
        <v>20</v>
      </c>
      <c r="E11" s="237" t="s">
        <v>48</v>
      </c>
      <c r="F11" s="238"/>
      <c r="G11" s="372">
        <v>44682</v>
      </c>
      <c r="H11" s="246" t="s">
        <v>49</v>
      </c>
      <c r="I11" s="247">
        <f ca="1">+J34</f>
        <v>236787.91499999995</v>
      </c>
      <c r="J11" s="237"/>
      <c r="K11" s="239"/>
      <c r="L11" s="248"/>
      <c r="M11" s="249"/>
    </row>
    <row r="12" spans="1:27" ht="13.5" thickTop="1" x14ac:dyDescent="0.2">
      <c r="A12" s="219" t="s">
        <v>20</v>
      </c>
      <c r="E12" s="250"/>
      <c r="F12" s="251"/>
      <c r="H12" s="252"/>
      <c r="I12" s="253"/>
    </row>
    <row r="13" spans="1:27" ht="16.5" thickBot="1" x14ac:dyDescent="0.3">
      <c r="A13" s="219" t="s">
        <v>20</v>
      </c>
      <c r="E13" s="220" t="s">
        <v>50</v>
      </c>
      <c r="F13" s="221"/>
      <c r="G13" s="221"/>
      <c r="H13" s="221"/>
      <c r="I13" s="221"/>
      <c r="J13" s="221"/>
      <c r="K13" s="221"/>
      <c r="L13" s="221"/>
      <c r="M13" s="221"/>
    </row>
    <row r="14" spans="1:27" ht="13.5" thickTop="1" x14ac:dyDescent="0.2">
      <c r="A14" s="219" t="s">
        <v>20</v>
      </c>
      <c r="E14" s="914" t="s">
        <v>51</v>
      </c>
      <c r="F14" s="914" t="s">
        <v>52</v>
      </c>
      <c r="G14" s="914"/>
      <c r="H14" s="254" t="s">
        <v>53</v>
      </c>
      <c r="I14" s="921" t="s">
        <v>54</v>
      </c>
      <c r="J14" s="921"/>
      <c r="K14" s="921" t="s">
        <v>55</v>
      </c>
      <c r="L14" s="921"/>
      <c r="M14" s="914" t="s">
        <v>56</v>
      </c>
    </row>
    <row r="15" spans="1:27" x14ac:dyDescent="0.2">
      <c r="A15" s="219" t="s">
        <v>20</v>
      </c>
      <c r="E15" s="915"/>
      <c r="F15" s="915"/>
      <c r="G15" s="915"/>
      <c r="H15" s="255" t="s">
        <v>57</v>
      </c>
      <c r="I15" s="255" t="s">
        <v>58</v>
      </c>
      <c r="J15" s="255" t="s">
        <v>15</v>
      </c>
      <c r="K15" s="255" t="s">
        <v>58</v>
      </c>
      <c r="L15" s="255" t="s">
        <v>15</v>
      </c>
      <c r="M15" s="915"/>
    </row>
    <row r="16" spans="1:27" x14ac:dyDescent="0.2">
      <c r="A16" s="219" t="str">
        <f t="shared" ref="A16:A34" si="0">IF(E16="","",IF(E16=0,"","*"))</f>
        <v>*</v>
      </c>
      <c r="B16" s="219" t="str">
        <f t="shared" ref="B16:B33" ca="1" si="1">IF(H16&lt;=$E$81,"A","B")</f>
        <v>A</v>
      </c>
      <c r="C16" s="252">
        <f>13589.79/388279.75</f>
        <v>3.4999996780671672E-2</v>
      </c>
      <c r="D16" s="256">
        <f t="shared" ref="D16:D33" si="2">IF(F16="Chaves",((1+$I$9)^(1/12)-1),IF(F16="Anual",$I$9,IF(F16="Semestral",((1+$I$9)^(1/2)-1),IF(F16="Mensal",((1+$I$9)^(1/12)-1),IF(F16="Sinal",0)))))</f>
        <v>0</v>
      </c>
      <c r="E16" s="257">
        <f>'Simulador CEF'!I40</f>
        <v>1</v>
      </c>
      <c r="F16" s="258" t="s">
        <v>44</v>
      </c>
      <c r="G16" s="259" t="s">
        <v>28</v>
      </c>
      <c r="H16" s="260">
        <f ca="1">'Simulador CEF'!H40</f>
        <v>43802</v>
      </c>
      <c r="I16" s="261">
        <f>'Simulador CEF'!L40</f>
        <v>2023.8283333333331</v>
      </c>
      <c r="J16" s="262">
        <f t="shared" ref="J16:J31" si="3">I16*E16</f>
        <v>2023.8283333333331</v>
      </c>
      <c r="K16" s="262">
        <f ca="1">IF(H16&lt;=$E$81,I16,   -PMT(D16,E16, (-FV(((1+$I$9)^(1/12)-1),( VLOOKUP(H16,Mês,2) ),,M16)),,1)       )</f>
        <v>2023.8283333333331</v>
      </c>
      <c r="L16" s="262">
        <f ca="1">K16*E16</f>
        <v>2023.8283333333331</v>
      </c>
      <c r="M16" s="262" t="e">
        <f t="shared" ref="M16:M33" ca="1" si="4">IF(E16="",0,IF(H16&lt;=$E$81,-PV(((1+$I$9)^(1/12)-1),( VLOOKUP(H16,Mês,2) ),,(-PV((IF(F16="Anual",$I$9,IF(F16="Semestral",((1+$I$9)^(1/2)-1),((1+$I$9)^(1/12)-1)))),E16,I16,,1)),1),-PV(((1+$I$9)^(1/12)-1),( VLOOKUP($E$81,Mês,2) ),,J16,1)))</f>
        <v>#REF!</v>
      </c>
      <c r="N16" s="253"/>
    </row>
    <row r="17" spans="1:16" x14ac:dyDescent="0.2">
      <c r="A17" s="219" t="str">
        <f>IF(E19="","",IF(E19=0,"","*"))</f>
        <v>*</v>
      </c>
      <c r="B17" s="219" t="str">
        <f t="shared" ca="1" si="1"/>
        <v>A</v>
      </c>
      <c r="C17" s="252">
        <f>8736.29/388279.75</f>
        <v>2.2499988732350838E-2</v>
      </c>
      <c r="D17" s="256">
        <f t="shared" si="2"/>
        <v>7.2073233161367156E-3</v>
      </c>
      <c r="E17" s="257">
        <f>'Simulador CEF'!I42</f>
        <v>1</v>
      </c>
      <c r="F17" s="258" t="s">
        <v>37</v>
      </c>
      <c r="G17" s="259" t="s">
        <v>28</v>
      </c>
      <c r="H17" s="260">
        <f ca="1">'Simulador CEF'!H42</f>
        <v>43833</v>
      </c>
      <c r="I17" s="261">
        <f>'Simulador CEF'!L42</f>
        <v>2023.8283333333331</v>
      </c>
      <c r="J17" s="262">
        <f t="shared" ref="J17:J21" si="5">I17*E17</f>
        <v>2023.8283333333331</v>
      </c>
      <c r="K17" s="262">
        <f ca="1">IF(H17&lt;=$E$81,I17,   -PMT(D17,E17, (-FV(((1+$I$9)^(1/12)-1),( VLOOKUP(H17,Mês,2) ),,M17)),,1)       )</f>
        <v>2023.8283333333331</v>
      </c>
      <c r="L17" s="262">
        <f t="shared" ref="L17:L21" ca="1" si="6">K17*E17</f>
        <v>2023.8283333333331</v>
      </c>
      <c r="M17" s="262" t="e">
        <f t="shared" ca="1" si="4"/>
        <v>#REF!</v>
      </c>
      <c r="N17" s="253"/>
    </row>
    <row r="18" spans="1:16" x14ac:dyDescent="0.2">
      <c r="A18" s="219" t="e">
        <f>IF(#REF!="","",IF(#REF!=0,"","*"))</f>
        <v>#REF!</v>
      </c>
      <c r="B18" s="219" t="str">
        <f t="shared" ca="1" si="1"/>
        <v>A</v>
      </c>
      <c r="C18" s="252">
        <f>8736.29/388279.75</f>
        <v>2.2499988732350838E-2</v>
      </c>
      <c r="D18" s="256">
        <f t="shared" si="2"/>
        <v>7.2073233161367156E-3</v>
      </c>
      <c r="E18" s="257">
        <f>'Simulador CEF'!I44</f>
        <v>1</v>
      </c>
      <c r="F18" s="258" t="s">
        <v>37</v>
      </c>
      <c r="G18" s="259" t="s">
        <v>33</v>
      </c>
      <c r="H18" s="260">
        <f ca="1">'Simulador CEF'!H44</f>
        <v>43864</v>
      </c>
      <c r="I18" s="261">
        <f>'Simulador CEF'!L44</f>
        <v>2023.8283333333331</v>
      </c>
      <c r="J18" s="262">
        <f t="shared" si="5"/>
        <v>2023.8283333333331</v>
      </c>
      <c r="K18" s="262">
        <f ca="1">IF(H18&lt;=$E$81,I18,   -PMT(D18,E18, (-FV(((1+$I$9)^(1/12)-1),( VLOOKUP(H18,Mês,2) ),,M18)),,1)       )</f>
        <v>2023.8283333333331</v>
      </c>
      <c r="L18" s="262">
        <f t="shared" ca="1" si="6"/>
        <v>2023.8283333333331</v>
      </c>
      <c r="M18" s="262" t="e">
        <f t="shared" ca="1" si="4"/>
        <v>#REF!</v>
      </c>
      <c r="N18" s="253"/>
    </row>
    <row r="19" spans="1:16" x14ac:dyDescent="0.2">
      <c r="A19" s="219" t="str">
        <f ca="1">IF(E20="","",IF(E20=0,"","*"))</f>
        <v>*</v>
      </c>
      <c r="B19" s="219" t="str">
        <f t="shared" ca="1" si="1"/>
        <v>A</v>
      </c>
      <c r="C19" s="252">
        <f>1698.72/388279.75</f>
        <v>4.3749899395989621E-3</v>
      </c>
      <c r="D19" s="256">
        <f t="shared" si="2"/>
        <v>0.09</v>
      </c>
      <c r="E19" s="257">
        <f>'Simulador CEF'!I52</f>
        <v>2</v>
      </c>
      <c r="F19" s="258" t="s">
        <v>27</v>
      </c>
      <c r="G19" s="259" t="s">
        <v>33</v>
      </c>
      <c r="H19" s="260">
        <f ca="1">'Simulador CEF'!H52</f>
        <v>44199</v>
      </c>
      <c r="I19" s="261">
        <f>'Simulador CEF'!L52</f>
        <v>3642.8909999999996</v>
      </c>
      <c r="J19" s="262">
        <f t="shared" si="5"/>
        <v>7285.7819999999992</v>
      </c>
      <c r="K19" s="262">
        <f ca="1">IF(H19&lt;=$E$81,I19,   -PMT(D17,E19, (-FV(((1+$I$9)^(1/12)-1),( VLOOKUP(H19,Mês,2) ),,M19)),,1)       )</f>
        <v>3642.8909999999996</v>
      </c>
      <c r="L19" s="262">
        <f t="shared" ca="1" si="6"/>
        <v>7285.7819999999992</v>
      </c>
      <c r="M19" s="262" t="e">
        <f t="shared" ca="1" si="4"/>
        <v>#REF!</v>
      </c>
      <c r="N19" s="253"/>
    </row>
    <row r="20" spans="1:16" x14ac:dyDescent="0.2">
      <c r="A20" s="219" t="str">
        <f>IF(E21="","",IF(E21=0,"","*"))</f>
        <v>*</v>
      </c>
      <c r="B20" s="219" t="str">
        <f t="shared" ca="1" si="1"/>
        <v>A</v>
      </c>
      <c r="C20" s="252">
        <f>38827.96/388279.75</f>
        <v>9.9999961368060011E-2</v>
      </c>
      <c r="D20" s="256">
        <f t="shared" si="2"/>
        <v>7.2073233161367156E-3</v>
      </c>
      <c r="E20" s="257">
        <f ca="1">'Simulador CEF'!I55</f>
        <v>25</v>
      </c>
      <c r="F20" s="258" t="s">
        <v>37</v>
      </c>
      <c r="G20" s="259" t="s">
        <v>33</v>
      </c>
      <c r="H20" s="260">
        <f ca="1">'Simulador CEF'!H55</f>
        <v>43985</v>
      </c>
      <c r="I20" s="261">
        <f ca="1">'Simulador CEF'!L55</f>
        <v>1165.7251199999998</v>
      </c>
      <c r="J20" s="262">
        <f t="shared" ca="1" si="5"/>
        <v>29143.127999999997</v>
      </c>
      <c r="K20" s="262">
        <f ca="1">IF(H20&lt;=$E$81,I20,   -PMT(D19,E20, (-FV(((1+$I$9)^(1/12)-1),( VLOOKUP(H20,Mês,2) ),,M20)),,1)       )</f>
        <v>1165.7251199999998</v>
      </c>
      <c r="L20" s="262">
        <f t="shared" ca="1" si="6"/>
        <v>29143.127999999997</v>
      </c>
      <c r="M20" s="262" t="e">
        <f t="shared" ca="1" si="4"/>
        <v>#REF!</v>
      </c>
      <c r="N20" s="253"/>
      <c r="P20" s="287"/>
    </row>
    <row r="21" spans="1:16" x14ac:dyDescent="0.2">
      <c r="A21" s="219" t="e">
        <f>IF(#REF!="","",IF(#REF!=0,"","*"))</f>
        <v>#REF!</v>
      </c>
      <c r="B21" s="219" t="str">
        <f t="shared" ca="1" si="1"/>
        <v>A</v>
      </c>
      <c r="C21" s="252">
        <f>10677.69/388279.75</f>
        <v>2.7499991951679171E-2</v>
      </c>
      <c r="D21" s="256">
        <f t="shared" si="2"/>
        <v>7.2073233161367156E-3</v>
      </c>
      <c r="E21" s="257">
        <f>'Simulador CEF'!I58</f>
        <v>1</v>
      </c>
      <c r="F21" s="258" t="s">
        <v>32</v>
      </c>
      <c r="G21" s="259" t="s">
        <v>33</v>
      </c>
      <c r="H21" s="260">
        <f ca="1">'Simulador CEF'!H58</f>
        <v>43954</v>
      </c>
      <c r="I21" s="261">
        <f ca="1">'Simulador CEF'!L58</f>
        <v>194287.51999999996</v>
      </c>
      <c r="J21" s="262">
        <f t="shared" ca="1" si="5"/>
        <v>194287.51999999996</v>
      </c>
      <c r="K21" s="262">
        <f ca="1">IF(H21&lt;=$E$81,I21,   -PMT(D20,E21, (-FV(((1+$I$9)^(1/12)-1),( VLOOKUP(H21,Mês,2) ),,M21)),,1)       )</f>
        <v>194287.51999999996</v>
      </c>
      <c r="L21" s="262">
        <f t="shared" ca="1" si="6"/>
        <v>194287.51999999996</v>
      </c>
      <c r="M21" s="262" t="e">
        <f t="shared" ca="1" si="4"/>
        <v>#REF!</v>
      </c>
      <c r="N21" s="263"/>
      <c r="O21" s="264" t="s">
        <v>59</v>
      </c>
    </row>
    <row r="22" spans="1:16" x14ac:dyDescent="0.2">
      <c r="A22" s="219" t="str">
        <f t="shared" si="0"/>
        <v/>
      </c>
      <c r="B22" s="219" t="str">
        <f t="shared" si="1"/>
        <v>A</v>
      </c>
      <c r="C22" s="252">
        <f t="shared" ref="C22:C33" si="7">0/388279.75</f>
        <v>0</v>
      </c>
      <c r="D22" s="256" t="b">
        <f t="shared" si="2"/>
        <v>0</v>
      </c>
      <c r="E22" s="258"/>
      <c r="F22" s="258"/>
      <c r="G22" s="259"/>
      <c r="H22" s="259"/>
      <c r="I22" s="265"/>
      <c r="J22" s="265">
        <f t="shared" si="3"/>
        <v>0</v>
      </c>
      <c r="K22" s="262">
        <f t="shared" ref="K22:K33" si="8">IF(H22&lt;=$E$81,I22,   -PMT(D22,E22, (-FV(((1+$I$9)^(1/12)-1),( VLOOKUP(H22,Mês,2) ),,M22)),,1)       )</f>
        <v>0</v>
      </c>
      <c r="L22" s="262">
        <f t="shared" ref="L22:L31" si="9">K22*E22</f>
        <v>0</v>
      </c>
      <c r="M22" s="262">
        <f t="shared" si="4"/>
        <v>0</v>
      </c>
      <c r="N22" s="263"/>
      <c r="O22" s="266"/>
      <c r="P22" s="266"/>
    </row>
    <row r="23" spans="1:16" x14ac:dyDescent="0.2">
      <c r="A23" s="219" t="str">
        <f t="shared" si="0"/>
        <v/>
      </c>
      <c r="B23" s="219" t="str">
        <f t="shared" si="1"/>
        <v>A</v>
      </c>
      <c r="C23" s="252">
        <f t="shared" si="7"/>
        <v>0</v>
      </c>
      <c r="D23" s="256" t="b">
        <f t="shared" si="2"/>
        <v>0</v>
      </c>
      <c r="E23" s="258"/>
      <c r="F23" s="258"/>
      <c r="G23" s="259"/>
      <c r="H23" s="259"/>
      <c r="I23" s="265"/>
      <c r="J23" s="265">
        <f t="shared" si="3"/>
        <v>0</v>
      </c>
      <c r="K23" s="262">
        <f t="shared" si="8"/>
        <v>0</v>
      </c>
      <c r="L23" s="262">
        <f t="shared" si="9"/>
        <v>0</v>
      </c>
      <c r="M23" s="262">
        <f t="shared" si="4"/>
        <v>0</v>
      </c>
      <c r="N23" s="263"/>
      <c r="O23" s="266"/>
      <c r="P23" s="266"/>
    </row>
    <row r="24" spans="1:16" x14ac:dyDescent="0.2">
      <c r="A24" s="219" t="str">
        <f t="shared" si="0"/>
        <v/>
      </c>
      <c r="B24" s="219" t="str">
        <f t="shared" si="1"/>
        <v>A</v>
      </c>
      <c r="C24" s="252">
        <f t="shared" si="7"/>
        <v>0</v>
      </c>
      <c r="D24" s="256" t="b">
        <f t="shared" si="2"/>
        <v>0</v>
      </c>
      <c r="E24" s="258"/>
      <c r="F24" s="258"/>
      <c r="G24" s="259"/>
      <c r="H24" s="259"/>
      <c r="I24" s="265"/>
      <c r="J24" s="265">
        <f t="shared" si="3"/>
        <v>0</v>
      </c>
      <c r="K24" s="262">
        <f t="shared" si="8"/>
        <v>0</v>
      </c>
      <c r="L24" s="262">
        <f t="shared" si="9"/>
        <v>0</v>
      </c>
      <c r="M24" s="262">
        <f t="shared" si="4"/>
        <v>0</v>
      </c>
      <c r="N24" s="263"/>
      <c r="O24" s="266"/>
      <c r="P24" s="266"/>
    </row>
    <row r="25" spans="1:16" x14ac:dyDescent="0.2">
      <c r="A25" s="219" t="str">
        <f t="shared" si="0"/>
        <v/>
      </c>
      <c r="B25" s="219" t="str">
        <f t="shared" si="1"/>
        <v>A</v>
      </c>
      <c r="C25" s="252">
        <f t="shared" si="7"/>
        <v>0</v>
      </c>
      <c r="D25" s="256" t="b">
        <f t="shared" si="2"/>
        <v>0</v>
      </c>
      <c r="E25" s="258"/>
      <c r="F25" s="258"/>
      <c r="G25" s="259"/>
      <c r="H25" s="259"/>
      <c r="I25" s="265"/>
      <c r="J25" s="265">
        <f t="shared" si="3"/>
        <v>0</v>
      </c>
      <c r="K25" s="262">
        <f t="shared" si="8"/>
        <v>0</v>
      </c>
      <c r="L25" s="262">
        <f t="shared" si="9"/>
        <v>0</v>
      </c>
      <c r="M25" s="262">
        <f t="shared" si="4"/>
        <v>0</v>
      </c>
      <c r="N25" s="263"/>
      <c r="O25" s="266"/>
      <c r="P25" s="266"/>
    </row>
    <row r="26" spans="1:16" x14ac:dyDescent="0.2">
      <c r="A26" s="219" t="str">
        <f t="shared" si="0"/>
        <v/>
      </c>
      <c r="B26" s="219" t="str">
        <f t="shared" si="1"/>
        <v>A</v>
      </c>
      <c r="C26" s="252">
        <f t="shared" si="7"/>
        <v>0</v>
      </c>
      <c r="D26" s="256" t="b">
        <f t="shared" si="2"/>
        <v>0</v>
      </c>
      <c r="E26" s="258"/>
      <c r="F26" s="258"/>
      <c r="G26" s="259"/>
      <c r="H26" s="259"/>
      <c r="I26" s="265"/>
      <c r="J26" s="265">
        <f t="shared" si="3"/>
        <v>0</v>
      </c>
      <c r="K26" s="262">
        <f t="shared" si="8"/>
        <v>0</v>
      </c>
      <c r="L26" s="262">
        <f t="shared" si="9"/>
        <v>0</v>
      </c>
      <c r="M26" s="262">
        <f t="shared" si="4"/>
        <v>0</v>
      </c>
      <c r="N26" s="263"/>
    </row>
    <row r="27" spans="1:16" x14ac:dyDescent="0.2">
      <c r="A27" s="219" t="str">
        <f t="shared" si="0"/>
        <v/>
      </c>
      <c r="B27" s="219" t="str">
        <f t="shared" si="1"/>
        <v>A</v>
      </c>
      <c r="C27" s="252">
        <f t="shared" si="7"/>
        <v>0</v>
      </c>
      <c r="D27" s="256" t="b">
        <f t="shared" si="2"/>
        <v>0</v>
      </c>
      <c r="E27" s="258"/>
      <c r="F27" s="258"/>
      <c r="G27" s="259"/>
      <c r="H27" s="259"/>
      <c r="I27" s="265"/>
      <c r="J27" s="265">
        <f t="shared" si="3"/>
        <v>0</v>
      </c>
      <c r="K27" s="262">
        <f t="shared" si="8"/>
        <v>0</v>
      </c>
      <c r="L27" s="262">
        <f t="shared" si="9"/>
        <v>0</v>
      </c>
      <c r="M27" s="262">
        <f t="shared" si="4"/>
        <v>0</v>
      </c>
      <c r="N27" s="263"/>
    </row>
    <row r="28" spans="1:16" x14ac:dyDescent="0.2">
      <c r="A28" s="219" t="str">
        <f t="shared" si="0"/>
        <v/>
      </c>
      <c r="B28" s="219" t="str">
        <f t="shared" si="1"/>
        <v>A</v>
      </c>
      <c r="C28" s="252">
        <f t="shared" si="7"/>
        <v>0</v>
      </c>
      <c r="D28" s="256" t="b">
        <f t="shared" si="2"/>
        <v>0</v>
      </c>
      <c r="E28" s="258"/>
      <c r="F28" s="258"/>
      <c r="G28" s="259"/>
      <c r="H28" s="259"/>
      <c r="I28" s="265"/>
      <c r="J28" s="265">
        <f t="shared" si="3"/>
        <v>0</v>
      </c>
      <c r="K28" s="262">
        <f t="shared" si="8"/>
        <v>0</v>
      </c>
      <c r="L28" s="262">
        <f t="shared" si="9"/>
        <v>0</v>
      </c>
      <c r="M28" s="262">
        <f t="shared" si="4"/>
        <v>0</v>
      </c>
      <c r="N28" s="263"/>
    </row>
    <row r="29" spans="1:16" x14ac:dyDescent="0.2">
      <c r="A29" s="219" t="str">
        <f t="shared" si="0"/>
        <v/>
      </c>
      <c r="B29" s="219" t="str">
        <f t="shared" si="1"/>
        <v>A</v>
      </c>
      <c r="C29" s="252">
        <f t="shared" si="7"/>
        <v>0</v>
      </c>
      <c r="D29" s="256" t="b">
        <f t="shared" si="2"/>
        <v>0</v>
      </c>
      <c r="E29" s="258"/>
      <c r="F29" s="258"/>
      <c r="G29" s="259"/>
      <c r="H29" s="259"/>
      <c r="I29" s="265"/>
      <c r="J29" s="265">
        <f t="shared" si="3"/>
        <v>0</v>
      </c>
      <c r="K29" s="262">
        <f t="shared" si="8"/>
        <v>0</v>
      </c>
      <c r="L29" s="262">
        <f t="shared" si="9"/>
        <v>0</v>
      </c>
      <c r="M29" s="262">
        <f t="shared" si="4"/>
        <v>0</v>
      </c>
      <c r="N29" s="263"/>
    </row>
    <row r="30" spans="1:16" x14ac:dyDescent="0.2">
      <c r="A30" s="219" t="str">
        <f t="shared" si="0"/>
        <v/>
      </c>
      <c r="B30" s="219" t="str">
        <f t="shared" si="1"/>
        <v>A</v>
      </c>
      <c r="C30" s="252">
        <f t="shared" si="7"/>
        <v>0</v>
      </c>
      <c r="D30" s="256" t="b">
        <f t="shared" si="2"/>
        <v>0</v>
      </c>
      <c r="E30" s="258"/>
      <c r="F30" s="258"/>
      <c r="G30" s="259"/>
      <c r="H30" s="259"/>
      <c r="I30" s="265"/>
      <c r="J30" s="265">
        <f t="shared" si="3"/>
        <v>0</v>
      </c>
      <c r="K30" s="262">
        <f t="shared" si="8"/>
        <v>0</v>
      </c>
      <c r="L30" s="262">
        <f t="shared" si="9"/>
        <v>0</v>
      </c>
      <c r="M30" s="262">
        <f t="shared" si="4"/>
        <v>0</v>
      </c>
      <c r="N30" s="263"/>
    </row>
    <row r="31" spans="1:16" x14ac:dyDescent="0.2">
      <c r="A31" s="219" t="str">
        <f t="shared" si="0"/>
        <v/>
      </c>
      <c r="B31" s="219" t="str">
        <f t="shared" si="1"/>
        <v>A</v>
      </c>
      <c r="C31" s="252">
        <f t="shared" si="7"/>
        <v>0</v>
      </c>
      <c r="D31" s="256" t="b">
        <f t="shared" si="2"/>
        <v>0</v>
      </c>
      <c r="E31" s="258"/>
      <c r="F31" s="258"/>
      <c r="G31" s="259"/>
      <c r="H31" s="259"/>
      <c r="I31" s="265"/>
      <c r="J31" s="265">
        <f t="shared" si="3"/>
        <v>0</v>
      </c>
      <c r="K31" s="262">
        <f t="shared" si="8"/>
        <v>0</v>
      </c>
      <c r="L31" s="262">
        <f t="shared" si="9"/>
        <v>0</v>
      </c>
      <c r="M31" s="262">
        <f t="shared" si="4"/>
        <v>0</v>
      </c>
      <c r="N31" s="263"/>
    </row>
    <row r="32" spans="1:16" x14ac:dyDescent="0.2">
      <c r="A32" s="219" t="str">
        <f t="shared" si="0"/>
        <v/>
      </c>
      <c r="B32" s="219" t="str">
        <f t="shared" si="1"/>
        <v>A</v>
      </c>
      <c r="C32" s="252">
        <f t="shared" si="7"/>
        <v>0</v>
      </c>
      <c r="D32" s="256" t="b">
        <f t="shared" si="2"/>
        <v>0</v>
      </c>
      <c r="E32" s="258"/>
      <c r="F32" s="258"/>
      <c r="G32" s="259"/>
      <c r="H32" s="259"/>
      <c r="I32" s="265"/>
      <c r="J32" s="265">
        <f>I32*E32</f>
        <v>0</v>
      </c>
      <c r="K32" s="262">
        <f t="shared" si="8"/>
        <v>0</v>
      </c>
      <c r="L32" s="262">
        <f>K32*E32</f>
        <v>0</v>
      </c>
      <c r="M32" s="262">
        <f t="shared" si="4"/>
        <v>0</v>
      </c>
      <c r="N32" s="263"/>
    </row>
    <row r="33" spans="1:19" x14ac:dyDescent="0.2">
      <c r="A33" s="219" t="str">
        <f t="shared" si="0"/>
        <v/>
      </c>
      <c r="B33" s="219" t="str">
        <f t="shared" si="1"/>
        <v>A</v>
      </c>
      <c r="C33" s="252">
        <f t="shared" si="7"/>
        <v>0</v>
      </c>
      <c r="D33" s="256" t="b">
        <f t="shared" si="2"/>
        <v>0</v>
      </c>
      <c r="E33" s="258"/>
      <c r="F33" s="258"/>
      <c r="G33" s="259"/>
      <c r="H33" s="259"/>
      <c r="I33" s="265"/>
      <c r="J33" s="265">
        <f>I33*E33</f>
        <v>0</v>
      </c>
      <c r="K33" s="262">
        <f t="shared" si="8"/>
        <v>0</v>
      </c>
      <c r="L33" s="262">
        <f>K33*E33</f>
        <v>0</v>
      </c>
      <c r="M33" s="262">
        <f t="shared" si="4"/>
        <v>0</v>
      </c>
      <c r="N33" s="263"/>
    </row>
    <row r="34" spans="1:19" ht="13.5" thickBot="1" x14ac:dyDescent="0.25">
      <c r="A34" s="219" t="str">
        <f t="shared" si="0"/>
        <v>*</v>
      </c>
      <c r="E34" s="923" t="s">
        <v>60</v>
      </c>
      <c r="F34" s="924"/>
      <c r="G34" s="924"/>
      <c r="H34" s="925"/>
      <c r="I34" s="267"/>
      <c r="J34" s="268">
        <f ca="1">SUM(J16:J32)</f>
        <v>236787.91499999995</v>
      </c>
      <c r="K34" s="267"/>
      <c r="L34" s="269">
        <f ca="1">SUM(L16:L32)</f>
        <v>236787.91499999995</v>
      </c>
      <c r="M34" s="270" t="e">
        <f ca="1">SUM(M16:M32)</f>
        <v>#REF!</v>
      </c>
      <c r="O34" s="271"/>
      <c r="P34" s="219" t="e">
        <f ca="1">J34/J61</f>
        <v>#REF!</v>
      </c>
    </row>
    <row r="35" spans="1:19" ht="13.5" thickTop="1" x14ac:dyDescent="0.2">
      <c r="A35" s="219" t="s">
        <v>20</v>
      </c>
    </row>
    <row r="36" spans="1:19" ht="16.5" thickBot="1" x14ac:dyDescent="0.3">
      <c r="A36" s="219" t="s">
        <v>20</v>
      </c>
      <c r="E36" s="220" t="s">
        <v>61</v>
      </c>
      <c r="F36" s="221"/>
      <c r="G36" s="221"/>
      <c r="H36" s="221"/>
      <c r="I36" s="221"/>
      <c r="J36" s="221"/>
      <c r="K36" s="221"/>
      <c r="L36" s="221"/>
      <c r="M36" s="221"/>
      <c r="N36" s="922" t="s">
        <v>62</v>
      </c>
      <c r="O36" s="922"/>
      <c r="S36" s="272"/>
    </row>
    <row r="37" spans="1:19" ht="13.5" thickTop="1" x14ac:dyDescent="0.2">
      <c r="A37" s="219" t="s">
        <v>20</v>
      </c>
      <c r="E37" s="914" t="s">
        <v>51</v>
      </c>
      <c r="F37" s="914" t="s">
        <v>52</v>
      </c>
      <c r="G37" s="914"/>
      <c r="H37" s="254" t="s">
        <v>53</v>
      </c>
      <c r="I37" s="921" t="s">
        <v>54</v>
      </c>
      <c r="J37" s="921"/>
      <c r="K37" s="921" t="s">
        <v>55</v>
      </c>
      <c r="L37" s="921"/>
      <c r="M37" s="914" t="s">
        <v>56</v>
      </c>
      <c r="N37" s="916" t="s">
        <v>63</v>
      </c>
      <c r="O37" s="912" t="s">
        <v>64</v>
      </c>
      <c r="P37" s="272" t="s">
        <v>166</v>
      </c>
      <c r="Q37" s="273" t="s">
        <v>165</v>
      </c>
      <c r="R37" s="274" t="s">
        <v>193</v>
      </c>
      <c r="S37" s="272"/>
    </row>
    <row r="38" spans="1:19" x14ac:dyDescent="0.2">
      <c r="A38" s="219" t="s">
        <v>20</v>
      </c>
      <c r="E38" s="915"/>
      <c r="F38" s="915"/>
      <c r="G38" s="915"/>
      <c r="H38" s="255" t="s">
        <v>57</v>
      </c>
      <c r="I38" s="255" t="s">
        <v>58</v>
      </c>
      <c r="J38" s="255" t="s">
        <v>15</v>
      </c>
      <c r="K38" s="255" t="s">
        <v>58</v>
      </c>
      <c r="L38" s="255" t="s">
        <v>15</v>
      </c>
      <c r="M38" s="915"/>
      <c r="N38" s="917"/>
      <c r="O38" s="913"/>
      <c r="P38" s="272"/>
      <c r="Q38" s="275"/>
      <c r="R38" s="272"/>
    </row>
    <row r="39" spans="1:19" x14ac:dyDescent="0.2">
      <c r="A39" s="219" t="str">
        <f t="shared" ref="A39:A60" si="10">IF(E39="","",IF(E39=0,"","*"))</f>
        <v>*</v>
      </c>
      <c r="B39" s="219" t="str">
        <f t="shared" ref="B39:B60" ca="1" si="11">IF(H39&lt;=$E$81,"A","B")</f>
        <v>A</v>
      </c>
      <c r="C39" s="252"/>
      <c r="D39" s="256">
        <f t="shared" ref="D39:D60" si="12">IF(F39="Chaves",((1+$I$9)^(1/12)-1),IF(F39="Anual",$I$9,IF(F39="Semestral",((1+$I$9)^(1/2)-1),IF(F39="Mensal",((1+$I$9)^(1/12)-1),IF(F39="Sinal",0)))))</f>
        <v>0</v>
      </c>
      <c r="E39" s="276">
        <f>'Simulador CEF'!F66</f>
        <v>1</v>
      </c>
      <c r="F39" s="276" t="s">
        <v>44</v>
      </c>
      <c r="G39" s="277" t="s">
        <v>28</v>
      </c>
      <c r="H39" s="277">
        <f ca="1">'Simulador CEF'!L66</f>
        <v>43802</v>
      </c>
      <c r="I39" s="278">
        <f>'Simulador CEF'!H66</f>
        <v>5000</v>
      </c>
      <c r="J39" s="262">
        <f t="shared" ref="J39:J50" si="13">I39*E39</f>
        <v>5000</v>
      </c>
      <c r="K39" s="262">
        <f t="shared" ref="K39:K59" ca="1" si="14">IF(H39&lt;=$E$81,I39,   -PMT(D39,E39, (-FV(((1+$I$9)^(1/12)-1),( VLOOKUP(H39,Mês,2) ),,M39)),,1)       )</f>
        <v>5000</v>
      </c>
      <c r="L39" s="262">
        <f t="shared" ref="L39:L50" ca="1" si="15">K39*E39</f>
        <v>5000</v>
      </c>
      <c r="M39" s="262" t="e">
        <f t="shared" ref="M39:M59" ca="1" si="16">IF(E39&lt;1,0,IF(H39&lt;=$E$81,-PV(((1+$I$9)^(1/12)-1),( VLOOKUP(H39,Mês,2) ),,(-PV((IF(F39="Anual",$I$9,IF(F39="Semestral",((1+$I$9)^(1/2)-1),((1+$I$9)^(1/12)-1)))),E39,I39,,1)),1),-PV(((1+$I$9)^(1/12)-1),( VLOOKUP($E$81,Mês,2) ),,J39,1)))</f>
        <v>#REF!</v>
      </c>
      <c r="N39" s="279">
        <v>0</v>
      </c>
      <c r="O39" s="280">
        <v>1</v>
      </c>
      <c r="P39" s="281" t="e">
        <f t="shared" ref="P39:P50" ca="1" si="17">IF(E39&lt;1,0,IF(H39&lt;=$E$81,-FV(((1+$I$9)^(1/12)-1),( VLOOKUP(H39,Mês,2) ),,(-PMT((IF(F39="Anual",$I$9,IF(F39="Semestral",((1+$I$9)^(1/2)-1),((1+$I$9)^(1/12)-1)))),E39,Q39,,1)),1),-PV(((1+$I$9)^(1/12)-1),( VLOOKUP($E$81,Mês,2) ),,Q39,1)))</f>
        <v>#REF!</v>
      </c>
      <c r="Q39" s="282" t="e">
        <f t="shared" ref="Q39:Q49" ca="1" si="18">$M$34-$M$61+M39</f>
        <v>#REF!</v>
      </c>
      <c r="R39" s="283" t="e">
        <f t="shared" ref="R39:R49" ca="1" si="19">M39</f>
        <v>#REF!</v>
      </c>
    </row>
    <row r="40" spans="1:19" x14ac:dyDescent="0.2">
      <c r="A40" s="219" t="str">
        <f t="shared" si="10"/>
        <v>*</v>
      </c>
      <c r="B40" s="219" t="str">
        <f t="shared" ca="1" si="11"/>
        <v>A</v>
      </c>
      <c r="C40" s="252"/>
      <c r="D40" s="256">
        <f t="shared" si="12"/>
        <v>7.2073233161367156E-3</v>
      </c>
      <c r="E40" s="276">
        <f>'Simulador CEF'!F68</f>
        <v>1</v>
      </c>
      <c r="F40" s="276" t="s">
        <v>37</v>
      </c>
      <c r="G40" s="277" t="s">
        <v>33</v>
      </c>
      <c r="H40" s="277">
        <f ca="1">'Simulador CEF'!L68</f>
        <v>43831</v>
      </c>
      <c r="I40" s="278">
        <f>'Simulador CEF'!H68</f>
        <v>1500</v>
      </c>
      <c r="J40" s="262">
        <f t="shared" si="13"/>
        <v>1500</v>
      </c>
      <c r="K40" s="262">
        <f t="shared" ca="1" si="14"/>
        <v>1500</v>
      </c>
      <c r="L40" s="262">
        <f t="shared" ca="1" si="15"/>
        <v>1500</v>
      </c>
      <c r="M40" s="262" t="e">
        <f t="shared" ca="1" si="16"/>
        <v>#REF!</v>
      </c>
      <c r="N40" s="279"/>
      <c r="O40" s="284"/>
      <c r="P40" s="281" t="e">
        <f t="shared" ca="1" si="17"/>
        <v>#REF!</v>
      </c>
      <c r="Q40" s="282" t="e">
        <f t="shared" ca="1" si="18"/>
        <v>#REF!</v>
      </c>
      <c r="R40" s="283" t="e">
        <f t="shared" ca="1" si="19"/>
        <v>#REF!</v>
      </c>
    </row>
    <row r="41" spans="1:19" x14ac:dyDescent="0.2">
      <c r="A41" s="219" t="str">
        <f t="shared" si="10"/>
        <v/>
      </c>
      <c r="B41" s="219" t="str">
        <f t="shared" ca="1" si="11"/>
        <v>A</v>
      </c>
      <c r="C41" s="252"/>
      <c r="D41" s="256">
        <f t="shared" si="12"/>
        <v>7.2073233161367156E-3</v>
      </c>
      <c r="E41" s="276">
        <f>'Simulador CEF'!F70</f>
        <v>0</v>
      </c>
      <c r="F41" s="276" t="s">
        <v>37</v>
      </c>
      <c r="G41" s="277" t="s">
        <v>33</v>
      </c>
      <c r="H41" s="277">
        <f ca="1">'Simulador CEF'!L70</f>
        <v>43862</v>
      </c>
      <c r="I41" s="278">
        <f>'Simulador CEF'!H70</f>
        <v>0</v>
      </c>
      <c r="J41" s="262">
        <f t="shared" si="13"/>
        <v>0</v>
      </c>
      <c r="K41" s="262">
        <f t="shared" ca="1" si="14"/>
        <v>0</v>
      </c>
      <c r="L41" s="262">
        <f t="shared" ca="1" si="15"/>
        <v>0</v>
      </c>
      <c r="M41" s="262">
        <f t="shared" si="16"/>
        <v>0</v>
      </c>
      <c r="N41" s="279"/>
      <c r="O41" s="284"/>
      <c r="P41" s="281">
        <f t="shared" si="17"/>
        <v>0</v>
      </c>
      <c r="Q41" s="282" t="e">
        <f t="shared" ca="1" si="18"/>
        <v>#REF!</v>
      </c>
      <c r="R41" s="283">
        <f t="shared" si="19"/>
        <v>0</v>
      </c>
    </row>
    <row r="42" spans="1:19" x14ac:dyDescent="0.2">
      <c r="A42" s="219" t="str">
        <f t="shared" si="10"/>
        <v>*</v>
      </c>
      <c r="B42" s="219" t="str">
        <f t="shared" ca="1" si="11"/>
        <v>A</v>
      </c>
      <c r="C42" s="252"/>
      <c r="D42" s="256">
        <f t="shared" si="12"/>
        <v>7.2073233161367156E-3</v>
      </c>
      <c r="E42" s="276">
        <f>'Simulador CEF'!F72</f>
        <v>1</v>
      </c>
      <c r="F42" s="276" t="s">
        <v>37</v>
      </c>
      <c r="G42" s="277" t="s">
        <v>33</v>
      </c>
      <c r="H42" s="277">
        <f ca="1">'Simulador CEF'!L72</f>
        <v>43862</v>
      </c>
      <c r="I42" s="278">
        <f>'Simulador CEF'!H72</f>
        <v>1500</v>
      </c>
      <c r="J42" s="262">
        <f t="shared" si="13"/>
        <v>1500</v>
      </c>
      <c r="K42" s="262">
        <f t="shared" ca="1" si="14"/>
        <v>1500</v>
      </c>
      <c r="L42" s="262">
        <f t="shared" ca="1" si="15"/>
        <v>1500</v>
      </c>
      <c r="M42" s="262" t="e">
        <f t="shared" ca="1" si="16"/>
        <v>#REF!</v>
      </c>
      <c r="N42" s="279"/>
      <c r="O42" s="284"/>
      <c r="P42" s="281" t="e">
        <f t="shared" ca="1" si="17"/>
        <v>#REF!</v>
      </c>
      <c r="Q42" s="282" t="e">
        <f t="shared" ca="1" si="18"/>
        <v>#REF!</v>
      </c>
      <c r="R42" s="283" t="e">
        <f t="shared" ca="1" si="19"/>
        <v>#REF!</v>
      </c>
    </row>
    <row r="43" spans="1:19" x14ac:dyDescent="0.2">
      <c r="A43" s="219" t="str">
        <f t="shared" si="10"/>
        <v>*</v>
      </c>
      <c r="B43" s="219" t="str">
        <f t="shared" ca="1" si="11"/>
        <v>A</v>
      </c>
      <c r="C43" s="252"/>
      <c r="D43" s="256">
        <f t="shared" si="12"/>
        <v>7.2073233161367156E-3</v>
      </c>
      <c r="E43" s="276">
        <f>'Simulador CEF'!F76</f>
        <v>1</v>
      </c>
      <c r="F43" s="276" t="s">
        <v>37</v>
      </c>
      <c r="G43" s="277" t="s">
        <v>33</v>
      </c>
      <c r="H43" s="277">
        <f ca="1">'Simulador CEF'!L76</f>
        <v>43922</v>
      </c>
      <c r="I43" s="278">
        <f>'Simulador CEF'!H76</f>
        <v>1500</v>
      </c>
      <c r="J43" s="262">
        <f t="shared" si="13"/>
        <v>1500</v>
      </c>
      <c r="K43" s="262">
        <f t="shared" ca="1" si="14"/>
        <v>1500</v>
      </c>
      <c r="L43" s="262">
        <f t="shared" ca="1" si="15"/>
        <v>1500</v>
      </c>
      <c r="M43" s="262" t="e">
        <f t="shared" ca="1" si="16"/>
        <v>#REF!</v>
      </c>
      <c r="N43" s="279"/>
      <c r="O43" s="284"/>
      <c r="P43" s="281" t="e">
        <f t="shared" ca="1" si="17"/>
        <v>#REF!</v>
      </c>
      <c r="Q43" s="282" t="e">
        <f t="shared" ca="1" si="18"/>
        <v>#REF!</v>
      </c>
      <c r="R43" s="283" t="e">
        <f t="shared" ca="1" si="19"/>
        <v>#REF!</v>
      </c>
    </row>
    <row r="44" spans="1:19" x14ac:dyDescent="0.2">
      <c r="A44" s="219" t="str">
        <f ca="1">IF(E44="","",IF(E44=0,"","*"))</f>
        <v>*</v>
      </c>
      <c r="B44" s="219" t="str">
        <f t="shared" ca="1" si="11"/>
        <v>A</v>
      </c>
      <c r="C44" s="252"/>
      <c r="D44" s="256">
        <f>IF(F44="Chaves",((1+$I$9)^(1/12)-1),IF(F44="Anual",$I$9,IF(F44="Semestral",((1+$I$9)^(1/2)-1),IF(F44="Mensal",((1+$I$9)^(1/12)-1),IF(F44="Sinal",0)))))</f>
        <v>7.2073233161367156E-3</v>
      </c>
      <c r="E44" s="276">
        <f ca="1">'Simulador CEF'!F80</f>
        <v>25</v>
      </c>
      <c r="F44" s="276" t="s">
        <v>37</v>
      </c>
      <c r="G44" s="277" t="s">
        <v>33</v>
      </c>
      <c r="H44" s="277">
        <f ca="1">'Simulador CEF'!L80</f>
        <v>43982</v>
      </c>
      <c r="I44" s="278">
        <f>'Simulador CEF'!H80</f>
        <v>1142.6099999999999</v>
      </c>
      <c r="J44" s="262">
        <f ca="1">I44*E44</f>
        <v>28565.249999999996</v>
      </c>
      <c r="K44" s="262">
        <f t="shared" ca="1" si="14"/>
        <v>1142.6099999999999</v>
      </c>
      <c r="L44" s="262">
        <f ca="1">K44*E44</f>
        <v>28565.249999999996</v>
      </c>
      <c r="M44" s="262" t="e">
        <f t="shared" ca="1" si="16"/>
        <v>#REF!</v>
      </c>
      <c r="N44" s="279"/>
      <c r="O44" s="284"/>
      <c r="P44" s="281" t="e">
        <f t="shared" ca="1" si="17"/>
        <v>#REF!</v>
      </c>
      <c r="Q44" s="282" t="e">
        <f t="shared" ca="1" si="18"/>
        <v>#REF!</v>
      </c>
      <c r="R44" s="283" t="e">
        <f t="shared" ca="1" si="19"/>
        <v>#REF!</v>
      </c>
    </row>
    <row r="45" spans="1:19" x14ac:dyDescent="0.2">
      <c r="A45" s="219" t="e">
        <f t="shared" si="10"/>
        <v>#REF!</v>
      </c>
      <c r="B45" s="219" t="e">
        <f t="shared" si="11"/>
        <v>#REF!</v>
      </c>
      <c r="C45" s="252"/>
      <c r="D45" s="256">
        <f t="shared" si="12"/>
        <v>7.2073233161367156E-3</v>
      </c>
      <c r="E45" s="276" t="e">
        <f>'Simulador CEF'!#REF!</f>
        <v>#REF!</v>
      </c>
      <c r="F45" s="276" t="s">
        <v>37</v>
      </c>
      <c r="G45" s="277" t="s">
        <v>33</v>
      </c>
      <c r="H45" s="277" t="e">
        <f>'Simulador CEF'!#REF!</f>
        <v>#REF!</v>
      </c>
      <c r="I45" s="278" t="e">
        <f>'Simulador CEF'!#REF!</f>
        <v>#REF!</v>
      </c>
      <c r="J45" s="262" t="e">
        <f t="shared" si="13"/>
        <v>#REF!</v>
      </c>
      <c r="K45" s="262" t="e">
        <f t="shared" si="14"/>
        <v>#REF!</v>
      </c>
      <c r="L45" s="262" t="e">
        <f t="shared" si="15"/>
        <v>#REF!</v>
      </c>
      <c r="M45" s="262" t="e">
        <f t="shared" si="16"/>
        <v>#REF!</v>
      </c>
      <c r="N45" s="279"/>
      <c r="O45" s="284"/>
      <c r="P45" s="281" t="e">
        <f t="shared" si="17"/>
        <v>#REF!</v>
      </c>
      <c r="Q45" s="282" t="e">
        <f t="shared" ca="1" si="18"/>
        <v>#REF!</v>
      </c>
      <c r="R45" s="283" t="e">
        <f t="shared" si="19"/>
        <v>#REF!</v>
      </c>
    </row>
    <row r="46" spans="1:19" x14ac:dyDescent="0.2">
      <c r="A46" s="219" t="str">
        <f>IF(E46="","",IF(E46=0,"","*"))</f>
        <v>*</v>
      </c>
      <c r="B46" s="219" t="str">
        <f t="shared" si="11"/>
        <v>A</v>
      </c>
      <c r="C46" s="252"/>
      <c r="D46" s="256">
        <f>IF(F46="Chaves",((1+$I$9)^(1/12)-1),IF(F46="Anual",$I$9,IF(F46="Semestral",((1+$I$9)^(1/2)-1),IF(F46="Mensal",((1+$I$9)^(1/12)-1),IF(F46="Sinal",0)))))</f>
        <v>0.09</v>
      </c>
      <c r="E46" s="276">
        <f>'Simulador CEF'!F83</f>
        <v>2</v>
      </c>
      <c r="F46" s="276" t="s">
        <v>27</v>
      </c>
      <c r="G46" s="277" t="s">
        <v>33</v>
      </c>
      <c r="H46" s="277">
        <f>'Simulador CEF'!L83</f>
        <v>44166</v>
      </c>
      <c r="I46" s="278">
        <f>'Simulador CEF'!H83</f>
        <v>4000</v>
      </c>
      <c r="J46" s="262">
        <f t="shared" si="13"/>
        <v>8000</v>
      </c>
      <c r="K46" s="262">
        <f t="shared" si="14"/>
        <v>4000</v>
      </c>
      <c r="L46" s="262">
        <f>K46*E46</f>
        <v>8000</v>
      </c>
      <c r="M46" s="262" t="e">
        <f t="shared" si="16"/>
        <v>#REF!</v>
      </c>
      <c r="N46" s="279"/>
      <c r="O46" s="284"/>
      <c r="P46" s="281" t="e">
        <f t="shared" ca="1" si="17"/>
        <v>#REF!</v>
      </c>
      <c r="Q46" s="282" t="e">
        <f t="shared" ca="1" si="18"/>
        <v>#REF!</v>
      </c>
      <c r="R46" s="283" t="e">
        <f t="shared" si="19"/>
        <v>#REF!</v>
      </c>
    </row>
    <row r="47" spans="1:19" x14ac:dyDescent="0.2">
      <c r="A47" s="219" t="str">
        <f t="shared" si="10"/>
        <v>*</v>
      </c>
      <c r="B47" s="219" t="e">
        <f t="shared" si="11"/>
        <v>#REF!</v>
      </c>
      <c r="C47" s="252"/>
      <c r="D47" s="256">
        <f t="shared" si="12"/>
        <v>7.2073233161367156E-3</v>
      </c>
      <c r="E47" s="276">
        <f>'Simulador CEF'!F88</f>
        <v>1</v>
      </c>
      <c r="F47" s="276" t="s">
        <v>32</v>
      </c>
      <c r="G47" s="277" t="s">
        <v>33</v>
      </c>
      <c r="H47" s="277" t="e">
        <f>'Simulador CEF'!#REF!</f>
        <v>#REF!</v>
      </c>
      <c r="I47" s="278" t="e">
        <f>'Simulador CEF'!#REF!</f>
        <v>#REF!</v>
      </c>
      <c r="J47" s="262" t="e">
        <f t="shared" si="13"/>
        <v>#REF!</v>
      </c>
      <c r="K47" s="262" t="e">
        <f t="shared" si="14"/>
        <v>#REF!</v>
      </c>
      <c r="L47" s="262" t="e">
        <f>K47*E47</f>
        <v>#REF!</v>
      </c>
      <c r="M47" s="262" t="e">
        <f t="shared" si="16"/>
        <v>#REF!</v>
      </c>
      <c r="N47" s="279"/>
      <c r="O47" s="284"/>
      <c r="P47" s="281" t="e">
        <f t="shared" si="17"/>
        <v>#REF!</v>
      </c>
      <c r="Q47" s="282" t="e">
        <f t="shared" ca="1" si="18"/>
        <v>#REF!</v>
      </c>
      <c r="R47" s="283" t="e">
        <f t="shared" si="19"/>
        <v>#REF!</v>
      </c>
    </row>
    <row r="48" spans="1:19" x14ac:dyDescent="0.2">
      <c r="A48" s="219" t="str">
        <f>IF(E48="","",IF(E48=0,"","*"))</f>
        <v>*</v>
      </c>
      <c r="B48" s="219" t="e">
        <f t="shared" si="11"/>
        <v>#REF!</v>
      </c>
      <c r="C48" s="252"/>
      <c r="D48" s="256">
        <f>IF(F48="Chaves",((1+$I$9)^(1/12)-1),IF(F48="Anual",$I$9,IF(F48="Semestral",((1+$I$9)^(1/2)-1),IF(F48="Mensal",((1+$I$9)^(1/12)-1),IF(F48="Sinal",0)))))</f>
        <v>7.2073233161367156E-3</v>
      </c>
      <c r="E48" s="276">
        <v>1</v>
      </c>
      <c r="F48" s="276" t="s">
        <v>37</v>
      </c>
      <c r="G48" s="277" t="s">
        <v>33</v>
      </c>
      <c r="H48" s="277" t="e">
        <f>'Simulador CEF'!#REF!</f>
        <v>#REF!</v>
      </c>
      <c r="I48" s="285" t="e">
        <f>'Simulador CEF'!#REF!</f>
        <v>#REF!</v>
      </c>
      <c r="J48" s="262" t="e">
        <f t="shared" si="13"/>
        <v>#REF!</v>
      </c>
      <c r="K48" s="262" t="e">
        <f t="shared" si="14"/>
        <v>#REF!</v>
      </c>
      <c r="L48" s="262" t="e">
        <f t="shared" si="15"/>
        <v>#REF!</v>
      </c>
      <c r="M48" s="262" t="e">
        <f t="shared" si="16"/>
        <v>#REF!</v>
      </c>
      <c r="N48" s="279"/>
      <c r="O48" s="284"/>
      <c r="P48" s="281" t="e">
        <f t="shared" si="17"/>
        <v>#REF!</v>
      </c>
      <c r="Q48" s="282" t="e">
        <f t="shared" ca="1" si="18"/>
        <v>#REF!</v>
      </c>
      <c r="R48" s="283" t="e">
        <f t="shared" si="19"/>
        <v>#REF!</v>
      </c>
    </row>
    <row r="49" spans="1:18" x14ac:dyDescent="0.2">
      <c r="A49" s="219" t="str">
        <f>IF(E49="","",IF(E49=0,"","*"))</f>
        <v>*</v>
      </c>
      <c r="B49" s="219" t="str">
        <f t="shared" ca="1" si="11"/>
        <v>A</v>
      </c>
      <c r="C49" s="252"/>
      <c r="D49" s="256">
        <f>IF(F49="Chaves",((1+$I$9)^(1/12)-1),IF(F49="Anual",$I$9,IF(F49="Semestral",((1+$I$9)^(1/2)-1),IF(F49="Mensal",((1+$I$9)^(1/12)-1),IF(F49="Sinal",0)))))</f>
        <v>7.2073233161367156E-3</v>
      </c>
      <c r="E49" s="276">
        <v>1</v>
      </c>
      <c r="F49" s="276" t="s">
        <v>32</v>
      </c>
      <c r="G49" s="277" t="s">
        <v>33</v>
      </c>
      <c r="H49" s="277">
        <f ca="1">H21</f>
        <v>43954</v>
      </c>
      <c r="I49" s="285">
        <f>'Simulador CEF'!N91</f>
        <v>15000</v>
      </c>
      <c r="J49" s="262">
        <f>I49*E49</f>
        <v>15000</v>
      </c>
      <c r="K49" s="262">
        <f t="shared" ca="1" si="14"/>
        <v>15000</v>
      </c>
      <c r="L49" s="262">
        <f ca="1">K49*E49</f>
        <v>15000</v>
      </c>
      <c r="M49" s="262" t="e">
        <f t="shared" ca="1" si="16"/>
        <v>#REF!</v>
      </c>
      <c r="N49" s="279"/>
      <c r="O49" s="284"/>
      <c r="P49" s="281" t="e">
        <f t="shared" ca="1" si="17"/>
        <v>#REF!</v>
      </c>
      <c r="Q49" s="282" t="e">
        <f t="shared" ca="1" si="18"/>
        <v>#REF!</v>
      </c>
      <c r="R49" s="283" t="e">
        <f t="shared" ca="1" si="19"/>
        <v>#REF!</v>
      </c>
    </row>
    <row r="50" spans="1:18" x14ac:dyDescent="0.2">
      <c r="A50" s="219" t="str">
        <f t="shared" si="10"/>
        <v>*</v>
      </c>
      <c r="B50" s="219" t="str">
        <f t="shared" ca="1" si="11"/>
        <v>A</v>
      </c>
      <c r="C50" s="252"/>
      <c r="D50" s="256">
        <f t="shared" si="12"/>
        <v>7.2073233161367156E-3</v>
      </c>
      <c r="E50" s="276">
        <v>1</v>
      </c>
      <c r="F50" s="276" t="s">
        <v>32</v>
      </c>
      <c r="G50" s="277" t="s">
        <v>33</v>
      </c>
      <c r="H50" s="277">
        <f ca="1">H21</f>
        <v>43954</v>
      </c>
      <c r="I50" s="285">
        <f ca="1">'Simulador CEF'!N92</f>
        <v>176800</v>
      </c>
      <c r="J50" s="262">
        <f t="shared" ca="1" si="13"/>
        <v>176800</v>
      </c>
      <c r="K50" s="262">
        <f t="shared" ca="1" si="14"/>
        <v>176800</v>
      </c>
      <c r="L50" s="262">
        <f t="shared" ca="1" si="15"/>
        <v>176800</v>
      </c>
      <c r="M50" s="262" t="e">
        <f t="shared" ca="1" si="16"/>
        <v>#REF!</v>
      </c>
      <c r="N50" s="279"/>
      <c r="O50" s="284"/>
      <c r="P50" s="281" t="e">
        <f t="shared" ca="1" si="17"/>
        <v>#REF!</v>
      </c>
      <c r="Q50" s="282" t="e">
        <f ca="1">$M$34-$M$61+M50</f>
        <v>#REF!</v>
      </c>
      <c r="R50" s="286"/>
    </row>
    <row r="51" spans="1:18" x14ac:dyDescent="0.2">
      <c r="A51" s="219" t="str">
        <f t="shared" si="10"/>
        <v/>
      </c>
      <c r="B51" s="219" t="str">
        <f t="shared" si="11"/>
        <v>A</v>
      </c>
      <c r="C51" s="252"/>
      <c r="D51" s="256" t="b">
        <f t="shared" si="12"/>
        <v>0</v>
      </c>
      <c r="E51" s="276"/>
      <c r="F51" s="276"/>
      <c r="G51" s="277"/>
      <c r="H51" s="277"/>
      <c r="I51" s="285"/>
      <c r="J51" s="262">
        <f t="shared" ref="J51:J59" si="20">I51*E51</f>
        <v>0</v>
      </c>
      <c r="K51" s="262">
        <f t="shared" si="14"/>
        <v>0</v>
      </c>
      <c r="L51" s="262">
        <f t="shared" ref="L51:L59" si="21">K51*E51</f>
        <v>0</v>
      </c>
      <c r="M51" s="262">
        <f t="shared" si="16"/>
        <v>0</v>
      </c>
      <c r="N51" s="279"/>
      <c r="O51" s="284"/>
      <c r="P51" s="287"/>
      <c r="R51" s="283">
        <f t="shared" ref="R51:R60" si="22">M51</f>
        <v>0</v>
      </c>
    </row>
    <row r="52" spans="1:18" x14ac:dyDescent="0.2">
      <c r="A52" s="219" t="str">
        <f t="shared" si="10"/>
        <v/>
      </c>
      <c r="B52" s="219" t="str">
        <f t="shared" si="11"/>
        <v>A</v>
      </c>
      <c r="C52" s="252"/>
      <c r="D52" s="256" t="b">
        <f t="shared" si="12"/>
        <v>0</v>
      </c>
      <c r="E52" s="276"/>
      <c r="F52" s="276"/>
      <c r="G52" s="277"/>
      <c r="H52" s="277"/>
      <c r="I52" s="285"/>
      <c r="J52" s="262">
        <f t="shared" si="20"/>
        <v>0</v>
      </c>
      <c r="K52" s="262">
        <f t="shared" si="14"/>
        <v>0</v>
      </c>
      <c r="L52" s="262">
        <f t="shared" si="21"/>
        <v>0</v>
      </c>
      <c r="M52" s="262">
        <f t="shared" si="16"/>
        <v>0</v>
      </c>
      <c r="N52" s="279"/>
      <c r="O52" s="284"/>
      <c r="P52" s="287"/>
      <c r="R52" s="283">
        <f t="shared" si="22"/>
        <v>0</v>
      </c>
    </row>
    <row r="53" spans="1:18" x14ac:dyDescent="0.2">
      <c r="A53" s="219" t="str">
        <f t="shared" si="10"/>
        <v/>
      </c>
      <c r="B53" s="219" t="str">
        <f t="shared" si="11"/>
        <v>A</v>
      </c>
      <c r="C53" s="252"/>
      <c r="D53" s="256" t="b">
        <f t="shared" si="12"/>
        <v>0</v>
      </c>
      <c r="E53" s="276"/>
      <c r="F53" s="276"/>
      <c r="G53" s="277"/>
      <c r="H53" s="277"/>
      <c r="I53" s="285"/>
      <c r="J53" s="262">
        <f t="shared" si="20"/>
        <v>0</v>
      </c>
      <c r="K53" s="262">
        <f t="shared" si="14"/>
        <v>0</v>
      </c>
      <c r="L53" s="262">
        <f t="shared" si="21"/>
        <v>0</v>
      </c>
      <c r="M53" s="262">
        <f t="shared" si="16"/>
        <v>0</v>
      </c>
      <c r="N53" s="279"/>
      <c r="O53" s="284"/>
      <c r="P53" s="287"/>
      <c r="R53" s="283">
        <f t="shared" si="22"/>
        <v>0</v>
      </c>
    </row>
    <row r="54" spans="1:18" x14ac:dyDescent="0.2">
      <c r="A54" s="219" t="str">
        <f t="shared" si="10"/>
        <v/>
      </c>
      <c r="B54" s="219" t="str">
        <f t="shared" si="11"/>
        <v>A</v>
      </c>
      <c r="C54" s="252"/>
      <c r="D54" s="256" t="b">
        <f t="shared" si="12"/>
        <v>0</v>
      </c>
      <c r="E54" s="276"/>
      <c r="F54" s="276"/>
      <c r="G54" s="277"/>
      <c r="H54" s="277"/>
      <c r="I54" s="285"/>
      <c r="J54" s="262">
        <f t="shared" si="20"/>
        <v>0</v>
      </c>
      <c r="K54" s="262">
        <f t="shared" si="14"/>
        <v>0</v>
      </c>
      <c r="L54" s="262">
        <f t="shared" si="21"/>
        <v>0</v>
      </c>
      <c r="M54" s="262">
        <f t="shared" si="16"/>
        <v>0</v>
      </c>
      <c r="N54" s="279"/>
      <c r="O54" s="284"/>
      <c r="P54" s="287"/>
      <c r="R54" s="283">
        <f t="shared" si="22"/>
        <v>0</v>
      </c>
    </row>
    <row r="55" spans="1:18" x14ac:dyDescent="0.2">
      <c r="A55" s="219" t="str">
        <f t="shared" si="10"/>
        <v/>
      </c>
      <c r="B55" s="219" t="str">
        <f t="shared" si="11"/>
        <v>A</v>
      </c>
      <c r="C55" s="252"/>
      <c r="D55" s="256" t="b">
        <f t="shared" si="12"/>
        <v>0</v>
      </c>
      <c r="E55" s="276"/>
      <c r="F55" s="276"/>
      <c r="G55" s="277"/>
      <c r="H55" s="277"/>
      <c r="I55" s="285"/>
      <c r="J55" s="262">
        <f t="shared" si="20"/>
        <v>0</v>
      </c>
      <c r="K55" s="262">
        <f t="shared" si="14"/>
        <v>0</v>
      </c>
      <c r="L55" s="262">
        <f t="shared" si="21"/>
        <v>0</v>
      </c>
      <c r="M55" s="262">
        <f t="shared" si="16"/>
        <v>0</v>
      </c>
      <c r="N55" s="279"/>
      <c r="O55" s="284"/>
      <c r="P55" s="287"/>
      <c r="R55" s="283">
        <f t="shared" si="22"/>
        <v>0</v>
      </c>
    </row>
    <row r="56" spans="1:18" x14ac:dyDescent="0.2">
      <c r="A56" s="219" t="str">
        <f t="shared" si="10"/>
        <v/>
      </c>
      <c r="B56" s="219" t="str">
        <f t="shared" si="11"/>
        <v>A</v>
      </c>
      <c r="C56" s="252"/>
      <c r="D56" s="256" t="b">
        <f t="shared" si="12"/>
        <v>0</v>
      </c>
      <c r="E56" s="276"/>
      <c r="F56" s="276"/>
      <c r="G56" s="277"/>
      <c r="H56" s="277"/>
      <c r="I56" s="285"/>
      <c r="J56" s="262">
        <f t="shared" si="20"/>
        <v>0</v>
      </c>
      <c r="K56" s="262">
        <f t="shared" si="14"/>
        <v>0</v>
      </c>
      <c r="L56" s="262">
        <f t="shared" si="21"/>
        <v>0</v>
      </c>
      <c r="M56" s="262">
        <f t="shared" si="16"/>
        <v>0</v>
      </c>
      <c r="N56" s="279"/>
      <c r="O56" s="284"/>
      <c r="P56" s="287"/>
      <c r="R56" s="283">
        <f t="shared" si="22"/>
        <v>0</v>
      </c>
    </row>
    <row r="57" spans="1:18" x14ac:dyDescent="0.2">
      <c r="A57" s="219" t="str">
        <f t="shared" si="10"/>
        <v/>
      </c>
      <c r="B57" s="219" t="str">
        <f t="shared" si="11"/>
        <v>A</v>
      </c>
      <c r="C57" s="252"/>
      <c r="D57" s="256" t="b">
        <f t="shared" si="12"/>
        <v>0</v>
      </c>
      <c r="E57" s="276"/>
      <c r="F57" s="276"/>
      <c r="G57" s="277"/>
      <c r="H57" s="277"/>
      <c r="I57" s="285"/>
      <c r="J57" s="262">
        <f t="shared" si="20"/>
        <v>0</v>
      </c>
      <c r="K57" s="262">
        <f t="shared" si="14"/>
        <v>0</v>
      </c>
      <c r="L57" s="262">
        <f t="shared" si="21"/>
        <v>0</v>
      </c>
      <c r="M57" s="262">
        <f t="shared" si="16"/>
        <v>0</v>
      </c>
      <c r="N57" s="279"/>
      <c r="O57" s="284"/>
      <c r="P57" s="287"/>
      <c r="R57" s="283">
        <f t="shared" si="22"/>
        <v>0</v>
      </c>
    </row>
    <row r="58" spans="1:18" x14ac:dyDescent="0.2">
      <c r="A58" s="219" t="str">
        <f t="shared" si="10"/>
        <v/>
      </c>
      <c r="B58" s="219" t="str">
        <f t="shared" si="11"/>
        <v>A</v>
      </c>
      <c r="C58" s="252"/>
      <c r="D58" s="256" t="b">
        <f t="shared" si="12"/>
        <v>0</v>
      </c>
      <c r="E58" s="276"/>
      <c r="F58" s="276"/>
      <c r="G58" s="277"/>
      <c r="H58" s="277"/>
      <c r="I58" s="285"/>
      <c r="J58" s="262">
        <f t="shared" si="20"/>
        <v>0</v>
      </c>
      <c r="K58" s="262">
        <f t="shared" si="14"/>
        <v>0</v>
      </c>
      <c r="L58" s="262">
        <f t="shared" si="21"/>
        <v>0</v>
      </c>
      <c r="M58" s="262">
        <f t="shared" si="16"/>
        <v>0</v>
      </c>
      <c r="N58" s="279"/>
      <c r="O58" s="284"/>
      <c r="P58" s="287"/>
      <c r="R58" s="283">
        <f t="shared" si="22"/>
        <v>0</v>
      </c>
    </row>
    <row r="59" spans="1:18" x14ac:dyDescent="0.2">
      <c r="A59" s="219" t="str">
        <f t="shared" si="10"/>
        <v/>
      </c>
      <c r="B59" s="219" t="str">
        <f t="shared" si="11"/>
        <v>A</v>
      </c>
      <c r="C59" s="252"/>
      <c r="D59" s="256" t="b">
        <f t="shared" si="12"/>
        <v>0</v>
      </c>
      <c r="E59" s="276"/>
      <c r="F59" s="276"/>
      <c r="G59" s="277"/>
      <c r="H59" s="277"/>
      <c r="I59" s="285"/>
      <c r="J59" s="262">
        <f t="shared" si="20"/>
        <v>0</v>
      </c>
      <c r="K59" s="262">
        <f t="shared" si="14"/>
        <v>0</v>
      </c>
      <c r="L59" s="262">
        <f t="shared" si="21"/>
        <v>0</v>
      </c>
      <c r="M59" s="262">
        <f t="shared" si="16"/>
        <v>0</v>
      </c>
      <c r="N59" s="279"/>
      <c r="O59" s="284"/>
      <c r="R59" s="283">
        <f t="shared" si="22"/>
        <v>0</v>
      </c>
    </row>
    <row r="60" spans="1:18" x14ac:dyDescent="0.2">
      <c r="A60" s="219" t="str">
        <f t="shared" si="10"/>
        <v/>
      </c>
      <c r="B60" s="219" t="str">
        <f t="shared" si="11"/>
        <v>A</v>
      </c>
      <c r="C60" s="252"/>
      <c r="D60" s="256" t="b">
        <f t="shared" si="12"/>
        <v>0</v>
      </c>
      <c r="E60" s="288"/>
      <c r="F60" s="288"/>
      <c r="G60" s="289"/>
      <c r="H60" s="289"/>
      <c r="I60" s="290"/>
      <c r="J60" s="291"/>
      <c r="K60" s="291"/>
      <c r="L60" s="291"/>
      <c r="M60" s="262"/>
      <c r="N60" s="279"/>
      <c r="O60" s="284"/>
      <c r="R60" s="292">
        <f t="shared" si="22"/>
        <v>0</v>
      </c>
    </row>
    <row r="61" spans="1:18" ht="13.5" thickBot="1" x14ac:dyDescent="0.25">
      <c r="A61" s="219" t="str">
        <f>IF(E61="","","*")</f>
        <v>*</v>
      </c>
      <c r="E61" s="923" t="s">
        <v>60</v>
      </c>
      <c r="F61" s="924"/>
      <c r="G61" s="924"/>
      <c r="H61" s="925"/>
      <c r="I61" s="267"/>
      <c r="J61" s="269" t="e">
        <f ca="1">SUM(J39:J60)</f>
        <v>#REF!</v>
      </c>
      <c r="K61" s="267"/>
      <c r="L61" s="269" t="e">
        <f ca="1">SUM(L39:L60)</f>
        <v>#REF!</v>
      </c>
      <c r="M61" s="270" t="e">
        <f ca="1">SUM(M39:M60)</f>
        <v>#REF!</v>
      </c>
      <c r="O61" s="271"/>
      <c r="P61" s="287"/>
      <c r="R61" s="293" t="e">
        <f ca="1">SUM(R39:R60)</f>
        <v>#REF!</v>
      </c>
    </row>
    <row r="62" spans="1:18" ht="13.5" thickTop="1" x14ac:dyDescent="0.2">
      <c r="A62" s="219" t="s">
        <v>20</v>
      </c>
      <c r="Q62" s="283" t="e">
        <f ca="1">IF(E50&lt;1,0,IF(H50&lt;=$E$81,-FV(((1+$I$9)^(1/12)-1),( VLOOKUP(H50,Mês,2) ),,(-PMT((IF(F50="Anual",$I$9,IF(F50="Semestral",((1+$I$9)^(1/2)-1),((1+$I$9)^(1/12)-1)))),E50,R62,,1)),1),-PV(((1+$I$9)^(1/12)-1),( VLOOKUP($E$81,Mês,2) ),,R62,1)))</f>
        <v>#REF!</v>
      </c>
      <c r="R62" s="294" t="e">
        <f ca="1">M34-R61</f>
        <v>#REF!</v>
      </c>
    </row>
    <row r="63" spans="1:18" x14ac:dyDescent="0.2">
      <c r="A63" s="219" t="s">
        <v>20</v>
      </c>
      <c r="J63" s="295"/>
    </row>
    <row r="64" spans="1:18" ht="13.5" thickBot="1" x14ac:dyDescent="0.25">
      <c r="A64" s="219" t="s">
        <v>20</v>
      </c>
    </row>
    <row r="65" spans="1:13" ht="17.25" thickTop="1" thickBot="1" x14ac:dyDescent="0.3">
      <c r="A65" s="219" t="s">
        <v>20</v>
      </c>
      <c r="E65" s="899"/>
      <c r="F65" s="901"/>
      <c r="G65" s="907" t="s">
        <v>3</v>
      </c>
      <c r="H65" s="909"/>
      <c r="I65" s="907" t="s">
        <v>65</v>
      </c>
      <c r="J65" s="908"/>
      <c r="K65" s="909"/>
      <c r="L65" s="907" t="s">
        <v>15</v>
      </c>
      <c r="M65" s="909"/>
    </row>
    <row r="66" spans="1:13" ht="17.25" thickTop="1" thickBot="1" x14ac:dyDescent="0.3">
      <c r="A66" s="219" t="s">
        <v>20</v>
      </c>
      <c r="E66" s="902"/>
      <c r="F66" s="904"/>
      <c r="G66" s="296" t="s">
        <v>66</v>
      </c>
      <c r="H66" s="296" t="s">
        <v>67</v>
      </c>
      <c r="I66" s="296" t="s">
        <v>66</v>
      </c>
      <c r="J66" s="296" t="s">
        <v>68</v>
      </c>
      <c r="K66" s="296" t="s">
        <v>67</v>
      </c>
      <c r="L66" s="296" t="s">
        <v>66</v>
      </c>
      <c r="M66" s="296" t="s">
        <v>67</v>
      </c>
    </row>
    <row r="67" spans="1:13" ht="14.25" thickTop="1" thickBot="1" x14ac:dyDescent="0.25">
      <c r="A67" s="219" t="s">
        <v>20</v>
      </c>
      <c r="E67" s="905" t="s">
        <v>31</v>
      </c>
      <c r="F67" s="906"/>
      <c r="G67" s="297" t="e">
        <f ca="1">H67/100*$J$61</f>
        <v>#REF!</v>
      </c>
      <c r="H67" s="298">
        <v>0</v>
      </c>
      <c r="I67" s="299"/>
      <c r="J67" s="297" t="e">
        <f ca="1">K67/100*$J$61</f>
        <v>#REF!</v>
      </c>
      <c r="K67" s="298"/>
      <c r="L67" s="297" t="e">
        <f ca="1">J67+I67+G67</f>
        <v>#REF!</v>
      </c>
      <c r="M67" s="300" t="e">
        <f ca="1">IF(L67=0,0,L67/$J$61)*100</f>
        <v>#REF!</v>
      </c>
    </row>
    <row r="68" spans="1:13" ht="14.25" thickTop="1" thickBot="1" x14ac:dyDescent="0.25">
      <c r="A68" s="219" t="s">
        <v>20</v>
      </c>
      <c r="E68" s="905" t="s">
        <v>36</v>
      </c>
      <c r="F68" s="906"/>
      <c r="G68" s="297" t="e">
        <f ca="1">H68/100*$J$61</f>
        <v>#REF!</v>
      </c>
      <c r="H68" s="298"/>
      <c r="I68" s="299"/>
      <c r="J68" s="297" t="e">
        <f ca="1">K68/100*$J$61</f>
        <v>#REF!</v>
      </c>
      <c r="K68" s="298"/>
      <c r="L68" s="297" t="e">
        <f ca="1">J68+I68+G68</f>
        <v>#REF!</v>
      </c>
      <c r="M68" s="300" t="e">
        <f ca="1">IF(L68=0,0,L68/$J$61)*100</f>
        <v>#REF!</v>
      </c>
    </row>
    <row r="69" spans="1:13" ht="14.25" thickTop="1" thickBot="1" x14ac:dyDescent="0.25">
      <c r="A69" s="219" t="s">
        <v>20</v>
      </c>
      <c r="E69" s="905" t="str">
        <f>J8</f>
        <v>Empresa de vendas</v>
      </c>
      <c r="F69" s="906"/>
      <c r="G69" s="297" t="e">
        <f ca="1">H69/100*$J$61</f>
        <v>#REF!</v>
      </c>
      <c r="H69" s="298"/>
      <c r="I69" s="299"/>
      <c r="J69" s="297" t="e">
        <f ca="1">K69/100*$J$61</f>
        <v>#REF!</v>
      </c>
      <c r="K69" s="298"/>
      <c r="L69" s="297" t="e">
        <f ca="1">J69+I69+G69</f>
        <v>#REF!</v>
      </c>
      <c r="M69" s="300" t="e">
        <f ca="1">IF(L69=0,0,L69/$J$61)*100</f>
        <v>#REF!</v>
      </c>
    </row>
    <row r="70" spans="1:13" ht="14.25" thickTop="1" thickBot="1" x14ac:dyDescent="0.25">
      <c r="A70" s="219" t="s">
        <v>20</v>
      </c>
      <c r="E70" s="910" t="s">
        <v>60</v>
      </c>
      <c r="F70" s="898"/>
      <c r="G70" s="297" t="e">
        <f t="shared" ref="G70:M70" ca="1" si="23">SUM(G67:G69)</f>
        <v>#REF!</v>
      </c>
      <c r="H70" s="300">
        <f t="shared" si="23"/>
        <v>0</v>
      </c>
      <c r="I70" s="297">
        <f t="shared" si="23"/>
        <v>0</v>
      </c>
      <c r="J70" s="301" t="e">
        <f t="shared" ca="1" si="23"/>
        <v>#REF!</v>
      </c>
      <c r="K70" s="300">
        <f t="shared" si="23"/>
        <v>0</v>
      </c>
      <c r="L70" s="297" t="e">
        <f t="shared" ca="1" si="23"/>
        <v>#REF!</v>
      </c>
      <c r="M70" s="300" t="e">
        <f t="shared" ca="1" si="23"/>
        <v>#REF!</v>
      </c>
    </row>
    <row r="71" spans="1:13" ht="13.5" thickTop="1" x14ac:dyDescent="0.2">
      <c r="A71" s="219" t="s">
        <v>20</v>
      </c>
      <c r="E71" s="302"/>
      <c r="F71" s="302"/>
      <c r="G71" s="303"/>
      <c r="H71" s="304"/>
      <c r="I71" s="303"/>
      <c r="J71" s="305"/>
      <c r="K71" s="304"/>
      <c r="L71" s="303"/>
      <c r="M71" s="304"/>
    </row>
    <row r="72" spans="1:13" x14ac:dyDescent="0.2">
      <c r="A72" s="219" t="s">
        <v>20</v>
      </c>
    </row>
    <row r="73" spans="1:13" ht="16.5" thickBot="1" x14ac:dyDescent="0.3">
      <c r="A73" s="219" t="s">
        <v>20</v>
      </c>
      <c r="E73" s="220" t="s">
        <v>69</v>
      </c>
      <c r="F73" s="221"/>
      <c r="G73" s="221"/>
      <c r="H73" s="221"/>
      <c r="I73" s="221"/>
      <c r="J73" s="221"/>
      <c r="K73" s="221"/>
      <c r="L73" s="221"/>
      <c r="M73" s="221"/>
    </row>
    <row r="74" spans="1:13" ht="14.25" thickTop="1" thickBot="1" x14ac:dyDescent="0.25">
      <c r="A74" s="219" t="s">
        <v>20</v>
      </c>
      <c r="E74" s="910" t="s">
        <v>70</v>
      </c>
      <c r="F74" s="897"/>
      <c r="G74" s="897"/>
      <c r="H74" s="897" t="s">
        <v>71</v>
      </c>
      <c r="I74" s="897"/>
      <c r="J74" s="897"/>
      <c r="K74" s="897" t="s">
        <v>72</v>
      </c>
      <c r="L74" s="897"/>
      <c r="M74" s="898"/>
    </row>
    <row r="75" spans="1:13" ht="13.5" thickTop="1" x14ac:dyDescent="0.2">
      <c r="A75" s="219" t="s">
        <v>20</v>
      </c>
      <c r="E75" s="899"/>
      <c r="F75" s="900"/>
      <c r="G75" s="900"/>
      <c r="H75" s="899"/>
      <c r="I75" s="900"/>
      <c r="J75" s="901"/>
      <c r="K75" s="900"/>
      <c r="L75" s="900"/>
      <c r="M75" s="901"/>
    </row>
    <row r="76" spans="1:13" ht="13.5" thickBot="1" x14ac:dyDescent="0.25">
      <c r="A76" s="219" t="s">
        <v>20</v>
      </c>
      <c r="E76" s="902"/>
      <c r="F76" s="903"/>
      <c r="G76" s="903"/>
      <c r="H76" s="902"/>
      <c r="I76" s="903"/>
      <c r="J76" s="904"/>
      <c r="K76" s="903"/>
      <c r="L76" s="903"/>
      <c r="M76" s="904"/>
    </row>
    <row r="77" spans="1:13" ht="13.5" thickTop="1" x14ac:dyDescent="0.2">
      <c r="A77" s="219" t="s">
        <v>20</v>
      </c>
      <c r="E77" s="306"/>
      <c r="F77" s="306"/>
      <c r="G77" s="306"/>
      <c r="H77" s="306"/>
      <c r="I77" s="306"/>
      <c r="J77" s="306"/>
      <c r="K77" s="306"/>
      <c r="L77" s="306"/>
      <c r="M77" s="306"/>
    </row>
    <row r="78" spans="1:13" x14ac:dyDescent="0.2">
      <c r="A78" s="219" t="s">
        <v>20</v>
      </c>
    </row>
    <row r="79" spans="1:13" ht="13.5" thickBot="1" x14ac:dyDescent="0.25">
      <c r="A79" s="219" t="s">
        <v>20</v>
      </c>
    </row>
    <row r="80" spans="1:13" ht="14.25" thickTop="1" thickBot="1" x14ac:dyDescent="0.25">
      <c r="A80" s="219" t="s">
        <v>20</v>
      </c>
      <c r="E80" s="910" t="s">
        <v>73</v>
      </c>
      <c r="F80" s="897"/>
      <c r="G80" s="897"/>
      <c r="H80" s="910" t="s">
        <v>74</v>
      </c>
      <c r="I80" s="897"/>
      <c r="J80" s="898"/>
      <c r="K80" s="897" t="s">
        <v>74</v>
      </c>
      <c r="L80" s="897"/>
      <c r="M80" s="898"/>
    </row>
    <row r="81" spans="1:13" ht="13.5" thickTop="1" x14ac:dyDescent="0.2">
      <c r="A81" s="219" t="s">
        <v>20</v>
      </c>
      <c r="E81" s="930">
        <f>G11</f>
        <v>44682</v>
      </c>
      <c r="F81" s="931"/>
      <c r="G81" s="932"/>
      <c r="H81" s="231" t="s">
        <v>75</v>
      </c>
      <c r="I81" s="232"/>
      <c r="J81" s="307">
        <f ca="1">SUMIF(B16:B34,"A",J16:J34)</f>
        <v>236787.91499999995</v>
      </c>
      <c r="K81" s="232" t="s">
        <v>75</v>
      </c>
      <c r="L81" s="232"/>
      <c r="M81" s="307">
        <f ca="1">SUMIF(B39:B61,"A",J39:J61)</f>
        <v>237865.25</v>
      </c>
    </row>
    <row r="82" spans="1:13" x14ac:dyDescent="0.2">
      <c r="A82" s="219" t="s">
        <v>20</v>
      </c>
      <c r="E82" s="933"/>
      <c r="F82" s="934"/>
      <c r="G82" s="935"/>
      <c r="H82" s="231" t="s">
        <v>76</v>
      </c>
      <c r="I82" s="232"/>
      <c r="J82" s="308">
        <f ca="1">L34</f>
        <v>236787.91499999995</v>
      </c>
      <c r="K82" s="232" t="s">
        <v>76</v>
      </c>
      <c r="L82" s="232"/>
      <c r="M82" s="308" t="e">
        <f ca="1">L61</f>
        <v>#REF!</v>
      </c>
    </row>
    <row r="83" spans="1:13" ht="13.5" thickBot="1" x14ac:dyDescent="0.25">
      <c r="A83" s="219" t="s">
        <v>20</v>
      </c>
      <c r="E83" s="936"/>
      <c r="F83" s="937"/>
      <c r="G83" s="938"/>
      <c r="H83" s="237" t="s">
        <v>77</v>
      </c>
      <c r="I83" s="238"/>
      <c r="J83" s="309">
        <f ca="1">J81/J82</f>
        <v>1</v>
      </c>
      <c r="K83" s="238" t="s">
        <v>77</v>
      </c>
      <c r="L83" s="238"/>
      <c r="M83" s="309" t="e">
        <f ca="1">IF(M81=0,0,M81/M82)</f>
        <v>#REF!</v>
      </c>
    </row>
    <row r="84" spans="1:13" ht="14.25" thickTop="1" thickBot="1" x14ac:dyDescent="0.25">
      <c r="A84" s="219" t="s">
        <v>20</v>
      </c>
    </row>
    <row r="85" spans="1:13" ht="14.25" thickTop="1" thickBot="1" x14ac:dyDescent="0.25">
      <c r="A85" s="219" t="s">
        <v>20</v>
      </c>
      <c r="E85" s="939" t="s">
        <v>78</v>
      </c>
      <c r="F85" s="940"/>
      <c r="G85" s="940"/>
      <c r="H85" s="940"/>
      <c r="I85" s="310">
        <f ca="1">SUMIF(F16:F34,"Sinal",J16:J34)/J34</f>
        <v>8.5470085470085479E-3</v>
      </c>
      <c r="J85" s="311" t="s">
        <v>79</v>
      </c>
      <c r="K85" s="312"/>
      <c r="L85" s="312"/>
      <c r="M85" s="310" t="e">
        <f ca="1">IF(J61=0,0,SUMIF(F39:F60,"Sinal",J39:J60)/J61)</f>
        <v>#REF!</v>
      </c>
    </row>
    <row r="86" spans="1:13" ht="14.25" thickTop="1" thickBot="1" x14ac:dyDescent="0.25">
      <c r="A86" s="219" t="s">
        <v>20</v>
      </c>
    </row>
    <row r="87" spans="1:13" ht="14.25" thickTop="1" thickBot="1" x14ac:dyDescent="0.25">
      <c r="A87" s="219" t="s">
        <v>20</v>
      </c>
      <c r="E87" s="926" t="s">
        <v>80</v>
      </c>
      <c r="F87" s="927"/>
      <c r="G87" s="928" t="e">
        <f ca="1">M34</f>
        <v>#REF!</v>
      </c>
      <c r="H87" s="929"/>
      <c r="I87" s="313" t="s">
        <v>81</v>
      </c>
      <c r="J87" s="314" t="e">
        <f ca="1">M61</f>
        <v>#REF!</v>
      </c>
      <c r="K87" s="313" t="s">
        <v>82</v>
      </c>
      <c r="L87" s="315" t="e">
        <f ca="1">G87-J87</f>
        <v>#REF!</v>
      </c>
      <c r="M87" s="316" t="e">
        <f ca="1">L87/G87</f>
        <v>#REF!</v>
      </c>
    </row>
    <row r="88" spans="1:13" ht="13.5" thickTop="1" x14ac:dyDescent="0.2"/>
  </sheetData>
  <autoFilter ref="A1:A88"/>
  <mergeCells count="39">
    <mergeCell ref="E87:F87"/>
    <mergeCell ref="G87:H87"/>
    <mergeCell ref="F14:G15"/>
    <mergeCell ref="E81:G83"/>
    <mergeCell ref="E85:H85"/>
    <mergeCell ref="E75:G76"/>
    <mergeCell ref="E69:F69"/>
    <mergeCell ref="E37:E38"/>
    <mergeCell ref="E14:E15"/>
    <mergeCell ref="E34:H34"/>
    <mergeCell ref="I37:J37"/>
    <mergeCell ref="E80:G80"/>
    <mergeCell ref="H80:J80"/>
    <mergeCell ref="E61:H61"/>
    <mergeCell ref="I14:J14"/>
    <mergeCell ref="F37:G38"/>
    <mergeCell ref="G65:H65"/>
    <mergeCell ref="E70:F70"/>
    <mergeCell ref="E68:F68"/>
    <mergeCell ref="N3:O3"/>
    <mergeCell ref="O37:O38"/>
    <mergeCell ref="M37:M38"/>
    <mergeCell ref="M14:M15"/>
    <mergeCell ref="N37:N38"/>
    <mergeCell ref="L3:M3"/>
    <mergeCell ref="L9:M9"/>
    <mergeCell ref="K14:L14"/>
    <mergeCell ref="K37:L37"/>
    <mergeCell ref="N36:O36"/>
    <mergeCell ref="K80:M80"/>
    <mergeCell ref="H75:J76"/>
    <mergeCell ref="E65:F66"/>
    <mergeCell ref="E67:F67"/>
    <mergeCell ref="K75:M76"/>
    <mergeCell ref="K74:M74"/>
    <mergeCell ref="H74:J74"/>
    <mergeCell ref="I65:K65"/>
    <mergeCell ref="L65:M65"/>
    <mergeCell ref="E74:G74"/>
  </mergeCells>
  <phoneticPr fontId="2" type="noConversion"/>
  <conditionalFormatting sqref="I60">
    <cfRule type="cellIs" dxfId="0" priority="1" stopIfTrue="1" operator="greaterThan">
      <formula>$S$37</formula>
    </cfRule>
  </conditionalFormatting>
  <dataValidations disablePrompts="1" count="2">
    <dataValidation type="list" allowBlank="1" showInputMessage="1" showErrorMessage="1" sqref="F39:F60 F16:F33">
      <formula1>$Y$5:$Y$9</formula1>
    </dataValidation>
    <dataValidation type="list" allowBlank="1" showInputMessage="1" showErrorMessage="1" sqref="G39:G60 G16:G33">
      <formula1>$Z$5:$Z$6</formula1>
    </dataValidation>
  </dataValidations>
  <printOptions horizontalCentered="1"/>
  <pageMargins left="0.55118110236220474" right="0.55118110236220474" top="0.78740157480314965" bottom="0.78740157480314965" header="0.31496062992125984" footer="0.51181102362204722"/>
  <pageSetup paperSize="9" scale="61" orientation="portrait" horizontalDpi="4294967292" r:id="rId1"/>
  <headerFooter alignWithMargins="0"/>
  <cellWatches>
    <cellWatch r="F60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8" r:id="rId4" name="Button 2">
              <controlPr defaultSize="0" print="0" autoFill="0" autoPict="0" macro="[0]!SemComissao">
                <anchor moveWithCells="1" sizeWithCells="1">
                  <from>
                    <xdr:col>13</xdr:col>
                    <xdr:colOff>95250</xdr:colOff>
                    <xdr:row>3</xdr:row>
                    <xdr:rowOff>76200</xdr:rowOff>
                  </from>
                  <to>
                    <xdr:col>14</xdr:col>
                    <xdr:colOff>571500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Button 3">
              <controlPr defaultSize="0" print="0" autoFill="0" autoPict="0" macro="[0]!Com_Comissão">
                <anchor moveWithCells="1" sizeWithCells="1">
                  <from>
                    <xdr:col>13</xdr:col>
                    <xdr:colOff>114300</xdr:colOff>
                    <xdr:row>5</xdr:row>
                    <xdr:rowOff>152400</xdr:rowOff>
                  </from>
                  <to>
                    <xdr:col>14</xdr:col>
                    <xdr:colOff>561975</xdr:colOff>
                    <xdr:row>7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>
    <tabColor theme="0" tint="-0.14999847407452621"/>
  </sheetPr>
  <dimension ref="A1:M52"/>
  <sheetViews>
    <sheetView zoomScale="85" zoomScaleNormal="85" workbookViewId="0">
      <selection activeCell="C11" sqref="C11"/>
    </sheetView>
  </sheetViews>
  <sheetFormatPr defaultRowHeight="12.75" x14ac:dyDescent="0.2"/>
  <cols>
    <col min="1" max="1" width="10.42578125" style="354" bestFit="1" customWidth="1"/>
    <col min="2" max="2" width="17" style="354" customWidth="1"/>
    <col min="3" max="3" width="22.5703125" style="354" customWidth="1"/>
    <col min="4" max="4" width="17.28515625" style="354" customWidth="1"/>
    <col min="5" max="5" width="17" style="354" customWidth="1"/>
    <col min="6" max="6" width="9.140625" style="354"/>
    <col min="7" max="7" width="10.140625" style="354" bestFit="1" customWidth="1"/>
    <col min="8" max="9" width="10.28515625" style="354" bestFit="1" customWidth="1"/>
    <col min="10" max="11" width="9.140625" style="354"/>
    <col min="12" max="12" width="10.140625" style="354" bestFit="1" customWidth="1"/>
    <col min="13" max="16384" width="9.140625" style="354"/>
  </cols>
  <sheetData>
    <row r="1" spans="1:13" s="349" customFormat="1" ht="18" x14ac:dyDescent="0.2">
      <c r="A1"/>
      <c r="B1" s="941" t="s">
        <v>362</v>
      </c>
      <c r="C1" s="942"/>
      <c r="D1" s="942"/>
      <c r="E1" s="942"/>
      <c r="F1" s="195"/>
    </row>
    <row r="2" spans="1:13" s="350" customFormat="1" ht="45" hidden="1" customHeight="1" x14ac:dyDescent="0.2">
      <c r="A2" s="199"/>
      <c r="B2" s="201" t="str">
        <f>CONCATENATE($B$1,B3)</f>
        <v>All Nations BMÊS DE INÍCIO</v>
      </c>
      <c r="C2" s="201" t="str">
        <f>CONCATENATE($B$1,C3)</f>
        <v>All Nations BQTDE PARCELAS</v>
      </c>
      <c r="D2" s="201" t="str">
        <f>CONCATENATE($B$1,D3)</f>
        <v>All Nations B% FLUXO</v>
      </c>
      <c r="E2" s="201" t="str">
        <f>CONCATENATE($B$1,E3)</f>
        <v>All Nations BTOTAL</v>
      </c>
      <c r="F2" s="200"/>
    </row>
    <row r="3" spans="1:13" s="351" customFormat="1" ht="31.5" x14ac:dyDescent="0.2">
      <c r="A3" s="196"/>
      <c r="B3" s="197" t="s">
        <v>157</v>
      </c>
      <c r="C3" s="197" t="s">
        <v>152</v>
      </c>
      <c r="D3" s="197" t="s">
        <v>200</v>
      </c>
      <c r="E3" s="197" t="s">
        <v>60</v>
      </c>
      <c r="F3" s="198"/>
    </row>
    <row r="4" spans="1:13" s="349" customFormat="1" x14ac:dyDescent="0.2">
      <c r="A4" s="667" t="s">
        <v>150</v>
      </c>
      <c r="B4" s="330">
        <v>0</v>
      </c>
      <c r="C4" s="330">
        <v>1</v>
      </c>
      <c r="D4" s="334">
        <f>5%/6</f>
        <v>8.3333333333333332E-3</v>
      </c>
      <c r="E4" s="943" t="s">
        <v>150</v>
      </c>
      <c r="F4" s="195"/>
    </row>
    <row r="5" spans="1:13" s="349" customFormat="1" x14ac:dyDescent="0.2">
      <c r="A5" s="667">
        <v>30</v>
      </c>
      <c r="B5" s="330">
        <v>1</v>
      </c>
      <c r="C5" s="330">
        <v>1</v>
      </c>
      <c r="D5" s="334">
        <f t="shared" ref="D5:D9" si="0">5%/6</f>
        <v>8.3333333333333332E-3</v>
      </c>
      <c r="E5" s="944"/>
      <c r="F5" s="195"/>
      <c r="J5" s="352" t="s">
        <v>396</v>
      </c>
    </row>
    <row r="6" spans="1:13" s="349" customFormat="1" x14ac:dyDescent="0.2">
      <c r="A6" s="667">
        <v>60</v>
      </c>
      <c r="B6" s="330">
        <v>2</v>
      </c>
      <c r="C6" s="330">
        <v>1</v>
      </c>
      <c r="D6" s="334">
        <f t="shared" si="0"/>
        <v>8.3333333333333332E-3</v>
      </c>
      <c r="E6" s="944"/>
      <c r="F6" s="195"/>
    </row>
    <row r="7" spans="1:13" s="349" customFormat="1" x14ac:dyDescent="0.2">
      <c r="A7" s="667">
        <v>90</v>
      </c>
      <c r="B7" s="330">
        <v>3</v>
      </c>
      <c r="C7" s="330">
        <v>1</v>
      </c>
      <c r="D7" s="334">
        <f t="shared" si="0"/>
        <v>8.3333333333333332E-3</v>
      </c>
      <c r="E7" s="945"/>
      <c r="F7" s="195"/>
    </row>
    <row r="8" spans="1:13" s="352" customFormat="1" x14ac:dyDescent="0.2">
      <c r="A8" s="667">
        <v>120</v>
      </c>
      <c r="B8" s="330">
        <v>4</v>
      </c>
      <c r="C8" s="330">
        <v>1</v>
      </c>
      <c r="D8" s="334">
        <f t="shared" si="0"/>
        <v>8.3333333333333332E-3</v>
      </c>
      <c r="F8" s="332"/>
      <c r="J8" s="500"/>
      <c r="K8" s="500"/>
      <c r="L8" s="500"/>
      <c r="M8" s="500"/>
    </row>
    <row r="9" spans="1:13" s="349" customFormat="1" x14ac:dyDescent="0.2">
      <c r="A9" s="667">
        <v>150</v>
      </c>
      <c r="B9" s="330">
        <v>5</v>
      </c>
      <c r="C9" s="330">
        <v>1</v>
      </c>
      <c r="D9" s="334">
        <f t="shared" si="0"/>
        <v>8.3333333333333332E-3</v>
      </c>
      <c r="F9" s="195"/>
      <c r="J9" s="501">
        <f>A17</f>
        <v>43770</v>
      </c>
      <c r="K9" s="383">
        <v>0</v>
      </c>
      <c r="L9" s="500" t="s">
        <v>459</v>
      </c>
      <c r="M9" s="383"/>
    </row>
    <row r="10" spans="1:13" s="349" customFormat="1" x14ac:dyDescent="0.2">
      <c r="A10" s="327" t="s">
        <v>27</v>
      </c>
      <c r="B10" s="329">
        <v>13</v>
      </c>
      <c r="C10" s="327">
        <v>2</v>
      </c>
      <c r="D10" s="335">
        <v>0.03</v>
      </c>
      <c r="E10" s="336" t="s">
        <v>210</v>
      </c>
      <c r="F10" s="195"/>
      <c r="J10" s="501">
        <f>EDATE(J9,1)</f>
        <v>43800</v>
      </c>
      <c r="K10" s="383">
        <v>1</v>
      </c>
      <c r="L10" s="383" t="s">
        <v>37</v>
      </c>
      <c r="M10" s="383"/>
    </row>
    <row r="11" spans="1:13" s="349" customFormat="1" x14ac:dyDescent="0.2">
      <c r="A11" s="327" t="s">
        <v>206</v>
      </c>
      <c r="B11" s="329">
        <v>6</v>
      </c>
      <c r="C11" s="347">
        <f ca="1">25-(IF(TODAY()&lt;J9,1,VLOOKUP(DATE(YEAR(TODAY()),MONTH(TODAY()),1),$J$9:$K$43,2,FALSE))-1)</f>
        <v>25</v>
      </c>
      <c r="D11" s="337">
        <v>0.12</v>
      </c>
      <c r="E11" s="377" t="s">
        <v>210</v>
      </c>
      <c r="F11" s="195"/>
      <c r="J11" s="501">
        <f t="shared" ref="J11:J40" si="1">EDATE(J10,1)</f>
        <v>43831</v>
      </c>
      <c r="K11" s="383">
        <v>2</v>
      </c>
      <c r="L11" s="383" t="s">
        <v>37</v>
      </c>
      <c r="M11" s="383"/>
    </row>
    <row r="12" spans="1:13" s="349" customFormat="1" x14ac:dyDescent="0.2">
      <c r="A12" s="328" t="s">
        <v>13</v>
      </c>
      <c r="B12" s="328">
        <v>5</v>
      </c>
      <c r="C12" s="328">
        <v>1</v>
      </c>
      <c r="D12" s="333">
        <v>0.8</v>
      </c>
      <c r="E12" s="331" t="s">
        <v>13</v>
      </c>
      <c r="F12" s="195"/>
      <c r="I12" s="360"/>
      <c r="J12" s="501">
        <f t="shared" si="1"/>
        <v>43862</v>
      </c>
      <c r="K12" s="383">
        <v>3</v>
      </c>
      <c r="L12" s="500" t="s">
        <v>37</v>
      </c>
      <c r="M12" s="383"/>
    </row>
    <row r="13" spans="1:13" s="349" customFormat="1" x14ac:dyDescent="0.2">
      <c r="A13" s="327" t="s">
        <v>454</v>
      </c>
      <c r="B13" s="329">
        <v>27</v>
      </c>
      <c r="C13" s="347">
        <f ca="1">26-(IF(TODAY()&lt;J11,1,VLOOKUP(DATE(YEAR(TODAY()),MONTH(TODAY()),1),$J$9:$K$43,2,FALSE))-1)</f>
        <v>26</v>
      </c>
      <c r="D13" s="337">
        <v>0</v>
      </c>
      <c r="E13" s="377" t="s">
        <v>210</v>
      </c>
      <c r="F13" s="195"/>
      <c r="H13" s="360"/>
      <c r="J13" s="501">
        <f t="shared" si="1"/>
        <v>43891</v>
      </c>
      <c r="K13" s="383">
        <v>4</v>
      </c>
      <c r="L13" s="502" t="s">
        <v>37</v>
      </c>
      <c r="M13" s="383"/>
    </row>
    <row r="14" spans="1:13" s="349" customFormat="1" x14ac:dyDescent="0.2">
      <c r="A14"/>
      <c r="B14" s="194">
        <v>0</v>
      </c>
      <c r="C14" s="194">
        <v>0</v>
      </c>
      <c r="D14" s="203"/>
      <c r="E14" s="194"/>
      <c r="F14" s="195"/>
      <c r="J14" s="501">
        <f t="shared" si="1"/>
        <v>43922</v>
      </c>
      <c r="K14" s="383">
        <v>5</v>
      </c>
      <c r="L14" s="500" t="s">
        <v>458</v>
      </c>
      <c r="M14" s="383"/>
    </row>
    <row r="15" spans="1:13" s="349" customFormat="1" x14ac:dyDescent="0.2">
      <c r="A15"/>
      <c r="B15" s="194">
        <v>0</v>
      </c>
      <c r="C15" s="194">
        <v>0</v>
      </c>
      <c r="D15" s="203">
        <v>0</v>
      </c>
      <c r="E15" s="194"/>
      <c r="F15" s="195"/>
      <c r="J15" s="501">
        <f t="shared" si="1"/>
        <v>43952</v>
      </c>
      <c r="K15" s="383">
        <v>6</v>
      </c>
      <c r="L15" s="383" t="s">
        <v>37</v>
      </c>
      <c r="M15" s="383"/>
    </row>
    <row r="16" spans="1:13" x14ac:dyDescent="0.2">
      <c r="A16"/>
      <c r="B16"/>
      <c r="C16"/>
      <c r="D16" s="217">
        <f>SUM(D4:D15)</f>
        <v>1</v>
      </c>
      <c r="E16"/>
      <c r="F16" s="356"/>
      <c r="J16" s="501">
        <f t="shared" si="1"/>
        <v>43983</v>
      </c>
      <c r="K16" s="383">
        <v>7</v>
      </c>
      <c r="L16" s="682" t="s">
        <v>37</v>
      </c>
      <c r="M16" s="503"/>
    </row>
    <row r="17" spans="1:13" x14ac:dyDescent="0.2">
      <c r="A17" s="355">
        <v>43770</v>
      </c>
      <c r="B17" s="354">
        <v>1</v>
      </c>
      <c r="D17" s="357"/>
      <c r="E17" s="356"/>
      <c r="F17" s="356"/>
      <c r="J17" s="501">
        <f t="shared" si="1"/>
        <v>44013</v>
      </c>
      <c r="K17" s="383">
        <v>8</v>
      </c>
      <c r="L17" s="503" t="s">
        <v>37</v>
      </c>
      <c r="M17" s="503"/>
    </row>
    <row r="18" spans="1:13" x14ac:dyDescent="0.2">
      <c r="A18" s="355">
        <f>EDATE(A17,1)</f>
        <v>43800</v>
      </c>
      <c r="B18" s="354">
        <v>2</v>
      </c>
      <c r="C18" s="358"/>
      <c r="D18" s="357"/>
      <c r="F18" s="356"/>
      <c r="G18" s="355"/>
      <c r="J18" s="501">
        <f t="shared" si="1"/>
        <v>44044</v>
      </c>
      <c r="K18" s="383">
        <v>9</v>
      </c>
      <c r="L18" s="503" t="s">
        <v>37</v>
      </c>
      <c r="M18" s="503"/>
    </row>
    <row r="19" spans="1:13" x14ac:dyDescent="0.2">
      <c r="A19" s="355">
        <f t="shared" ref="A19:A44" si="2">EDATE(A18,1)</f>
        <v>43831</v>
      </c>
      <c r="B19" s="354">
        <v>3</v>
      </c>
      <c r="D19" s="357"/>
      <c r="F19" s="356"/>
      <c r="G19" s="355"/>
      <c r="J19" s="501">
        <f t="shared" si="1"/>
        <v>44075</v>
      </c>
      <c r="K19" s="383">
        <v>10</v>
      </c>
      <c r="L19" s="503" t="s">
        <v>37</v>
      </c>
      <c r="M19" s="503"/>
    </row>
    <row r="20" spans="1:13" x14ac:dyDescent="0.2">
      <c r="A20" s="355">
        <f t="shared" si="2"/>
        <v>43862</v>
      </c>
      <c r="B20" s="354">
        <v>4</v>
      </c>
      <c r="D20" s="357"/>
      <c r="F20" s="356"/>
      <c r="J20" s="501">
        <f t="shared" si="1"/>
        <v>44105</v>
      </c>
      <c r="K20" s="383">
        <v>11</v>
      </c>
      <c r="L20" s="503" t="s">
        <v>37</v>
      </c>
      <c r="M20" s="503"/>
    </row>
    <row r="21" spans="1:13" x14ac:dyDescent="0.2">
      <c r="A21" s="355">
        <f t="shared" si="2"/>
        <v>43891</v>
      </c>
      <c r="B21" s="354">
        <v>5</v>
      </c>
      <c r="D21" s="357"/>
      <c r="F21" s="356"/>
      <c r="I21" s="355"/>
      <c r="J21" s="501">
        <f t="shared" si="1"/>
        <v>44136</v>
      </c>
      <c r="K21" s="383">
        <v>12</v>
      </c>
      <c r="L21" s="503" t="s">
        <v>37</v>
      </c>
      <c r="M21" s="503"/>
    </row>
    <row r="22" spans="1:13" x14ac:dyDescent="0.2">
      <c r="A22" s="355">
        <f t="shared" si="2"/>
        <v>43922</v>
      </c>
      <c r="B22" s="354">
        <v>6</v>
      </c>
      <c r="D22" s="357"/>
      <c r="F22" s="353"/>
      <c r="J22" s="501">
        <f t="shared" si="1"/>
        <v>44166</v>
      </c>
      <c r="K22" s="383">
        <v>13</v>
      </c>
      <c r="L22" s="503" t="s">
        <v>37</v>
      </c>
      <c r="M22" s="503"/>
    </row>
    <row r="23" spans="1:13" x14ac:dyDescent="0.2">
      <c r="A23" s="355">
        <f t="shared" si="2"/>
        <v>43952</v>
      </c>
      <c r="B23" s="354">
        <v>7</v>
      </c>
      <c r="D23" s="357"/>
      <c r="J23" s="501">
        <f t="shared" si="1"/>
        <v>44197</v>
      </c>
      <c r="K23" s="383">
        <v>14</v>
      </c>
      <c r="L23" s="503" t="s">
        <v>37</v>
      </c>
      <c r="M23" s="503"/>
    </row>
    <row r="24" spans="1:13" x14ac:dyDescent="0.2">
      <c r="A24" s="355">
        <f t="shared" si="2"/>
        <v>43983</v>
      </c>
      <c r="B24" s="354">
        <v>8</v>
      </c>
      <c r="D24" s="357"/>
      <c r="J24" s="501">
        <f t="shared" si="1"/>
        <v>44228</v>
      </c>
      <c r="K24" s="383">
        <v>15</v>
      </c>
      <c r="L24" s="503" t="s">
        <v>37</v>
      </c>
      <c r="M24" s="503"/>
    </row>
    <row r="25" spans="1:13" x14ac:dyDescent="0.2">
      <c r="A25" s="355">
        <f t="shared" si="2"/>
        <v>44013</v>
      </c>
      <c r="B25" s="354">
        <v>9</v>
      </c>
      <c r="D25" s="357"/>
      <c r="J25" s="501">
        <f t="shared" si="1"/>
        <v>44256</v>
      </c>
      <c r="K25" s="383">
        <v>16</v>
      </c>
      <c r="L25" s="503" t="s">
        <v>37</v>
      </c>
      <c r="M25" s="503"/>
    </row>
    <row r="26" spans="1:13" x14ac:dyDescent="0.2">
      <c r="A26" s="355">
        <f t="shared" si="2"/>
        <v>44044</v>
      </c>
      <c r="B26" s="354">
        <v>10</v>
      </c>
      <c r="D26" s="357"/>
      <c r="J26" s="501">
        <f t="shared" si="1"/>
        <v>44287</v>
      </c>
      <c r="K26" s="383">
        <v>17</v>
      </c>
      <c r="L26" s="503" t="s">
        <v>37</v>
      </c>
      <c r="M26" s="503"/>
    </row>
    <row r="27" spans="1:13" x14ac:dyDescent="0.2">
      <c r="A27" s="355">
        <f t="shared" si="2"/>
        <v>44075</v>
      </c>
      <c r="B27" s="354">
        <v>11</v>
      </c>
      <c r="D27" s="357"/>
      <c r="J27" s="501">
        <f t="shared" si="1"/>
        <v>44317</v>
      </c>
      <c r="K27" s="383">
        <v>18</v>
      </c>
      <c r="L27" s="503" t="s">
        <v>37</v>
      </c>
      <c r="M27" s="503"/>
    </row>
    <row r="28" spans="1:13" x14ac:dyDescent="0.2">
      <c r="A28" s="355">
        <f t="shared" si="2"/>
        <v>44105</v>
      </c>
      <c r="B28" s="354">
        <v>12</v>
      </c>
      <c r="D28" s="357"/>
      <c r="J28" s="501">
        <f t="shared" si="1"/>
        <v>44348</v>
      </c>
      <c r="K28" s="383">
        <v>19</v>
      </c>
      <c r="L28" s="682" t="s">
        <v>37</v>
      </c>
      <c r="M28" s="503"/>
    </row>
    <row r="29" spans="1:13" x14ac:dyDescent="0.2">
      <c r="A29" s="355">
        <f t="shared" si="2"/>
        <v>44136</v>
      </c>
      <c r="B29" s="354">
        <v>13</v>
      </c>
      <c r="D29" s="357"/>
      <c r="J29" s="501">
        <f t="shared" si="1"/>
        <v>44378</v>
      </c>
      <c r="K29" s="383">
        <v>20</v>
      </c>
      <c r="L29" s="503" t="s">
        <v>37</v>
      </c>
      <c r="M29" s="503"/>
    </row>
    <row r="30" spans="1:13" x14ac:dyDescent="0.2">
      <c r="A30" s="355">
        <f t="shared" si="2"/>
        <v>44166</v>
      </c>
      <c r="B30" s="354">
        <v>14</v>
      </c>
      <c r="D30" s="357"/>
      <c r="J30" s="501">
        <f t="shared" si="1"/>
        <v>44409</v>
      </c>
      <c r="K30" s="383">
        <v>21</v>
      </c>
      <c r="L30" s="503" t="s">
        <v>37</v>
      </c>
      <c r="M30" s="503"/>
    </row>
    <row r="31" spans="1:13" x14ac:dyDescent="0.2">
      <c r="A31" s="355">
        <f t="shared" si="2"/>
        <v>44197</v>
      </c>
      <c r="B31" s="354">
        <v>15</v>
      </c>
      <c r="D31" s="357"/>
      <c r="J31" s="501">
        <f t="shared" si="1"/>
        <v>44440</v>
      </c>
      <c r="K31" s="383">
        <v>22</v>
      </c>
      <c r="L31" s="503" t="s">
        <v>37</v>
      </c>
      <c r="M31" s="503"/>
    </row>
    <row r="32" spans="1:13" x14ac:dyDescent="0.2">
      <c r="A32" s="355">
        <f t="shared" si="2"/>
        <v>44228</v>
      </c>
      <c r="B32" s="354">
        <v>16</v>
      </c>
      <c r="D32" s="357"/>
      <c r="J32" s="501">
        <f t="shared" si="1"/>
        <v>44470</v>
      </c>
      <c r="K32" s="383">
        <v>23</v>
      </c>
      <c r="L32" s="503" t="s">
        <v>37</v>
      </c>
      <c r="M32" s="503"/>
    </row>
    <row r="33" spans="1:13" x14ac:dyDescent="0.2">
      <c r="A33" s="355">
        <f t="shared" si="2"/>
        <v>44256</v>
      </c>
      <c r="B33" s="354">
        <v>17</v>
      </c>
      <c r="D33" s="357"/>
      <c r="J33" s="501">
        <f t="shared" si="1"/>
        <v>44501</v>
      </c>
      <c r="K33" s="383">
        <v>24</v>
      </c>
      <c r="L33" s="503" t="s">
        <v>37</v>
      </c>
      <c r="M33" s="503"/>
    </row>
    <row r="34" spans="1:13" x14ac:dyDescent="0.2">
      <c r="A34" s="355">
        <f t="shared" si="2"/>
        <v>44287</v>
      </c>
      <c r="B34" s="354">
        <v>18</v>
      </c>
      <c r="D34" s="357"/>
      <c r="J34" s="501">
        <f t="shared" si="1"/>
        <v>44531</v>
      </c>
      <c r="K34" s="383">
        <v>25</v>
      </c>
      <c r="L34" s="503" t="s">
        <v>37</v>
      </c>
      <c r="M34" s="503"/>
    </row>
    <row r="35" spans="1:13" x14ac:dyDescent="0.2">
      <c r="A35" s="355">
        <f t="shared" si="2"/>
        <v>44317</v>
      </c>
      <c r="B35" s="354">
        <v>19</v>
      </c>
      <c r="D35" s="357"/>
      <c r="J35" s="501">
        <f t="shared" si="1"/>
        <v>44562</v>
      </c>
      <c r="K35" s="383">
        <v>26</v>
      </c>
      <c r="L35" s="503" t="s">
        <v>37</v>
      </c>
      <c r="M35" s="503"/>
    </row>
    <row r="36" spans="1:13" x14ac:dyDescent="0.2">
      <c r="A36" s="355">
        <f t="shared" si="2"/>
        <v>44348</v>
      </c>
      <c r="B36" s="354">
        <v>20</v>
      </c>
      <c r="D36" s="357"/>
      <c r="J36" s="501">
        <f t="shared" si="1"/>
        <v>44593</v>
      </c>
      <c r="K36" s="383">
        <v>27</v>
      </c>
      <c r="L36" s="503" t="s">
        <v>37</v>
      </c>
      <c r="M36" s="503"/>
    </row>
    <row r="37" spans="1:13" x14ac:dyDescent="0.2">
      <c r="A37" s="355">
        <f t="shared" si="2"/>
        <v>44378</v>
      </c>
      <c r="B37" s="354">
        <v>21</v>
      </c>
      <c r="D37" s="357"/>
      <c r="J37" s="501">
        <f t="shared" si="1"/>
        <v>44621</v>
      </c>
      <c r="K37" s="383">
        <v>28</v>
      </c>
      <c r="L37" s="503" t="s">
        <v>37</v>
      </c>
      <c r="M37" s="503"/>
    </row>
    <row r="38" spans="1:13" x14ac:dyDescent="0.2">
      <c r="A38" s="355">
        <f t="shared" si="2"/>
        <v>44409</v>
      </c>
      <c r="B38" s="354">
        <v>22</v>
      </c>
      <c r="D38" s="357"/>
      <c r="J38" s="501">
        <f t="shared" si="1"/>
        <v>44652</v>
      </c>
      <c r="K38" s="383">
        <v>29</v>
      </c>
      <c r="L38" s="503" t="s">
        <v>37</v>
      </c>
      <c r="M38" s="503"/>
    </row>
    <row r="39" spans="1:13" x14ac:dyDescent="0.2">
      <c r="A39" s="355">
        <f t="shared" si="2"/>
        <v>44440</v>
      </c>
      <c r="B39" s="354">
        <v>23</v>
      </c>
      <c r="D39" s="357"/>
      <c r="J39" s="501">
        <f t="shared" si="1"/>
        <v>44682</v>
      </c>
      <c r="K39" s="383">
        <v>30</v>
      </c>
      <c r="L39" s="503" t="s">
        <v>37</v>
      </c>
      <c r="M39" s="503"/>
    </row>
    <row r="40" spans="1:13" x14ac:dyDescent="0.2">
      <c r="A40" s="355">
        <f t="shared" si="2"/>
        <v>44470</v>
      </c>
      <c r="B40" s="354">
        <v>24</v>
      </c>
      <c r="D40" s="357"/>
      <c r="J40" s="501">
        <f t="shared" si="1"/>
        <v>44713</v>
      </c>
      <c r="K40" s="383">
        <v>31</v>
      </c>
      <c r="L40" s="682" t="s">
        <v>37</v>
      </c>
      <c r="M40" s="503"/>
    </row>
    <row r="41" spans="1:13" x14ac:dyDescent="0.2">
      <c r="A41" s="355">
        <f t="shared" si="2"/>
        <v>44501</v>
      </c>
      <c r="B41" s="354">
        <v>25</v>
      </c>
      <c r="D41" s="357"/>
      <c r="J41" s="501"/>
      <c r="K41" s="383"/>
      <c r="L41" s="503"/>
      <c r="M41" s="503"/>
    </row>
    <row r="42" spans="1:13" x14ac:dyDescent="0.2">
      <c r="A42" s="355">
        <f t="shared" si="2"/>
        <v>44531</v>
      </c>
      <c r="B42" s="354">
        <v>26</v>
      </c>
      <c r="D42" s="357"/>
      <c r="J42" s="501"/>
      <c r="K42" s="383"/>
      <c r="L42" s="503"/>
      <c r="M42" s="503"/>
    </row>
    <row r="43" spans="1:13" x14ac:dyDescent="0.2">
      <c r="A43" s="355">
        <f t="shared" si="2"/>
        <v>44562</v>
      </c>
      <c r="B43" s="354">
        <v>27</v>
      </c>
      <c r="D43" s="357"/>
      <c r="J43" s="501"/>
      <c r="K43" s="383"/>
      <c r="L43" s="503"/>
      <c r="M43" s="503"/>
    </row>
    <row r="44" spans="1:13" x14ac:dyDescent="0.2">
      <c r="A44" s="355">
        <f t="shared" si="2"/>
        <v>44593</v>
      </c>
      <c r="B44" s="354">
        <v>28</v>
      </c>
      <c r="D44" s="357"/>
      <c r="J44" s="501"/>
      <c r="K44" s="383"/>
      <c r="L44" s="503"/>
      <c r="M44" s="503"/>
    </row>
    <row r="45" spans="1:13" x14ac:dyDescent="0.2">
      <c r="A45" s="355"/>
      <c r="D45" s="357"/>
    </row>
    <row r="46" spans="1:13" x14ac:dyDescent="0.2">
      <c r="A46" s="355"/>
      <c r="D46" s="357"/>
    </row>
    <row r="47" spans="1:13" x14ac:dyDescent="0.2">
      <c r="A47" s="355"/>
      <c r="D47" s="357"/>
    </row>
    <row r="48" spans="1:13" x14ac:dyDescent="0.2">
      <c r="A48" s="355"/>
    </row>
    <row r="49" spans="1:4" x14ac:dyDescent="0.2">
      <c r="A49" s="355"/>
      <c r="D49" s="353"/>
    </row>
    <row r="50" spans="1:4" x14ac:dyDescent="0.2">
      <c r="A50" s="355"/>
    </row>
    <row r="51" spans="1:4" x14ac:dyDescent="0.2">
      <c r="A51" s="355"/>
    </row>
    <row r="52" spans="1:4" x14ac:dyDescent="0.2">
      <c r="A52" s="355"/>
    </row>
  </sheetData>
  <sheetProtection algorithmName="SHA-512" hashValue="ZJECen3YIz/3ybIMXUC1sfjgbyf21FLsZaPy1lbO2X4IHIkk66I+Ot/IAG/HKoaPz48AxcjR0OjgYhKmzVfSsg==" saltValue="pndUIPtF4TADOaOn/7bUZg==" spinCount="100000" sheet="1" objects="1" scenarios="1"/>
  <mergeCells count="2">
    <mergeCell ref="B1:E1"/>
    <mergeCell ref="E4:E7"/>
  </mergeCells>
  <phoneticPr fontId="19" type="noConversion"/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7">
    <tabColor theme="0" tint="-0.14999847407452621"/>
    <pageSetUpPr fitToPage="1"/>
  </sheetPr>
  <dimension ref="A1:EG250"/>
  <sheetViews>
    <sheetView showGridLines="0" topLeftCell="B3" zoomScale="70" zoomScaleNormal="70" workbookViewId="0">
      <selection activeCell="K10" sqref="K10"/>
    </sheetView>
  </sheetViews>
  <sheetFormatPr defaultRowHeight="12.75" x14ac:dyDescent="0.2"/>
  <cols>
    <col min="1" max="1" width="18.7109375" style="4" customWidth="1"/>
    <col min="2" max="2" width="54.28515625" style="18" customWidth="1"/>
    <col min="3" max="3" width="9.28515625" style="18" customWidth="1"/>
    <col min="4" max="4" width="30.42578125" style="4" bestFit="1" customWidth="1"/>
    <col min="5" max="9" width="20.7109375" style="4" customWidth="1"/>
    <col min="10" max="10" width="5.140625" style="4" bestFit="1" customWidth="1"/>
    <col min="11" max="11" width="10.28515625" style="4" bestFit="1" customWidth="1"/>
    <col min="12" max="12" width="3.140625" style="4" bestFit="1" customWidth="1"/>
    <col min="13" max="13" width="5.140625" style="4" bestFit="1" customWidth="1"/>
    <col min="14" max="14" width="8.42578125" style="4" bestFit="1" customWidth="1"/>
    <col min="15" max="15" width="11.140625" style="4" bestFit="1" customWidth="1"/>
    <col min="16" max="16" width="71.5703125" style="12" bestFit="1" customWidth="1"/>
    <col min="17" max="17" width="16" style="12" bestFit="1" customWidth="1"/>
    <col min="18" max="18" width="16.42578125" style="12" bestFit="1" customWidth="1"/>
    <col min="19" max="19" width="10.42578125" style="4" customWidth="1"/>
    <col min="20" max="20" width="19.5703125" style="4" customWidth="1"/>
    <col min="21" max="21" width="73.5703125" style="12" bestFit="1" customWidth="1"/>
    <col min="22" max="23" width="19.5703125" style="12" customWidth="1"/>
    <col min="24" max="25" width="19.5703125" style="4" customWidth="1"/>
    <col min="26" max="26" width="28.42578125" style="12" customWidth="1"/>
    <col min="27" max="28" width="19.5703125" style="12" customWidth="1"/>
    <col min="29" max="30" width="19.5703125" style="4" customWidth="1"/>
    <col min="31" max="31" width="27.85546875" style="12" bestFit="1" customWidth="1"/>
    <col min="32" max="33" width="19.5703125" style="12" customWidth="1"/>
    <col min="34" max="35" width="19.5703125" style="4" customWidth="1"/>
    <col min="36" max="38" width="19.5703125" style="12" customWidth="1"/>
    <col min="39" max="40" width="19.5703125" style="4" customWidth="1"/>
    <col min="41" max="43" width="19.5703125" style="12" customWidth="1"/>
    <col min="44" max="45" width="19.5703125" style="4" customWidth="1"/>
    <col min="46" max="48" width="19.5703125" style="12" customWidth="1"/>
    <col min="49" max="50" width="19.5703125" style="4" customWidth="1"/>
    <col min="51" max="53" width="19.5703125" style="12" customWidth="1"/>
    <col min="54" max="55" width="19.5703125" style="4" customWidth="1"/>
    <col min="56" max="58" width="19.5703125" style="12" customWidth="1"/>
    <col min="59" max="60" width="19.5703125" style="4" customWidth="1"/>
    <col min="61" max="63" width="19.5703125" style="12" customWidth="1"/>
    <col min="64" max="65" width="19.5703125" style="4" customWidth="1"/>
    <col min="66" max="68" width="19.5703125" style="12" customWidth="1"/>
    <col min="69" max="70" width="19.5703125" style="4" customWidth="1"/>
    <col min="71" max="73" width="19.5703125" style="12" customWidth="1"/>
    <col min="74" max="75" width="19.5703125" style="4" customWidth="1"/>
    <col min="76" max="78" width="19.5703125" style="12" customWidth="1"/>
    <col min="79" max="80" width="19.5703125" style="4" customWidth="1"/>
    <col min="81" max="83" width="19.5703125" style="12" customWidth="1"/>
    <col min="84" max="85" width="19.5703125" style="4" customWidth="1"/>
    <col min="86" max="88" width="19.5703125" style="12" customWidth="1"/>
    <col min="89" max="89" width="19.5703125" style="4" customWidth="1"/>
    <col min="90" max="16384" width="9.140625" style="4"/>
  </cols>
  <sheetData>
    <row r="1" spans="1:137" hidden="1" x14ac:dyDescent="0.2">
      <c r="O1" s="4">
        <v>1</v>
      </c>
      <c r="P1" s="12">
        <v>2</v>
      </c>
      <c r="Q1" s="4">
        <v>3</v>
      </c>
      <c r="R1" s="4">
        <v>4</v>
      </c>
      <c r="S1" s="12">
        <v>5</v>
      </c>
      <c r="T1" s="4">
        <v>6</v>
      </c>
      <c r="U1" s="4">
        <v>7</v>
      </c>
      <c r="V1" s="12">
        <v>8</v>
      </c>
      <c r="W1" s="4">
        <v>9</v>
      </c>
      <c r="X1" s="4">
        <v>10</v>
      </c>
      <c r="Y1" s="12">
        <v>11</v>
      </c>
      <c r="Z1" s="4">
        <v>12</v>
      </c>
      <c r="AA1" s="4">
        <v>13</v>
      </c>
      <c r="AB1" s="12">
        <v>14</v>
      </c>
      <c r="AC1" s="4">
        <v>15</v>
      </c>
      <c r="AD1" s="4">
        <v>16</v>
      </c>
      <c r="AE1" s="12">
        <v>17</v>
      </c>
      <c r="AF1" s="4">
        <v>18</v>
      </c>
      <c r="AG1" s="4">
        <v>19</v>
      </c>
      <c r="AH1" s="12">
        <v>20</v>
      </c>
      <c r="AI1" s="4">
        <v>21</v>
      </c>
      <c r="AJ1" s="4">
        <v>22</v>
      </c>
      <c r="AK1" s="12">
        <v>23</v>
      </c>
      <c r="AL1" s="4">
        <v>24</v>
      </c>
      <c r="AM1" s="4">
        <v>25</v>
      </c>
      <c r="AN1" s="12">
        <v>26</v>
      </c>
      <c r="AO1" s="4">
        <v>27</v>
      </c>
      <c r="AP1" s="4">
        <v>28</v>
      </c>
      <c r="AQ1" s="12">
        <v>29</v>
      </c>
      <c r="AR1" s="4">
        <v>30</v>
      </c>
      <c r="AS1" s="4">
        <v>31</v>
      </c>
      <c r="AT1" s="12">
        <v>32</v>
      </c>
      <c r="AU1" s="4">
        <v>33</v>
      </c>
      <c r="AV1" s="4">
        <v>34</v>
      </c>
      <c r="AW1" s="12">
        <v>35</v>
      </c>
      <c r="AX1" s="4">
        <v>36</v>
      </c>
      <c r="AY1" s="4">
        <v>37</v>
      </c>
      <c r="AZ1" s="12">
        <v>38</v>
      </c>
      <c r="BA1" s="4">
        <v>39</v>
      </c>
      <c r="BB1" s="4">
        <v>40</v>
      </c>
      <c r="BC1" s="12">
        <v>41</v>
      </c>
      <c r="BD1" s="4">
        <v>42</v>
      </c>
      <c r="BE1" s="4">
        <v>43</v>
      </c>
      <c r="BF1" s="12">
        <v>44</v>
      </c>
      <c r="BG1" s="4">
        <v>45</v>
      </c>
      <c r="BH1" s="4">
        <v>46</v>
      </c>
      <c r="BI1" s="12">
        <v>47</v>
      </c>
      <c r="BJ1" s="4">
        <v>48</v>
      </c>
      <c r="BK1" s="4">
        <v>49</v>
      </c>
      <c r="BL1" s="12">
        <v>50</v>
      </c>
      <c r="BM1" s="4">
        <v>51</v>
      </c>
      <c r="BN1" s="4">
        <v>52</v>
      </c>
      <c r="BO1" s="12">
        <v>53</v>
      </c>
      <c r="BP1" s="4">
        <v>54</v>
      </c>
      <c r="BQ1" s="4">
        <v>55</v>
      </c>
      <c r="BR1" s="12">
        <v>56</v>
      </c>
      <c r="BS1" s="4">
        <v>57</v>
      </c>
      <c r="BT1" s="4">
        <v>58</v>
      </c>
      <c r="BU1" s="12">
        <v>59</v>
      </c>
      <c r="BV1" s="4">
        <v>60</v>
      </c>
      <c r="BW1" s="4">
        <v>61</v>
      </c>
      <c r="BX1" s="12">
        <v>62</v>
      </c>
      <c r="BY1" s="4">
        <v>63</v>
      </c>
      <c r="BZ1" s="4">
        <v>64</v>
      </c>
      <c r="CA1" s="12">
        <v>65</v>
      </c>
      <c r="CB1" s="4">
        <v>66</v>
      </c>
      <c r="CC1" s="4">
        <v>67</v>
      </c>
      <c r="CD1" s="12">
        <v>68</v>
      </c>
      <c r="CE1" s="4">
        <v>69</v>
      </c>
      <c r="CF1" s="4">
        <v>70</v>
      </c>
      <c r="CG1" s="12">
        <v>71</v>
      </c>
      <c r="CH1" s="4">
        <v>72</v>
      </c>
      <c r="CI1" s="4">
        <v>73</v>
      </c>
      <c r="CJ1" s="12">
        <v>74</v>
      </c>
      <c r="CK1" s="4">
        <v>75</v>
      </c>
      <c r="CL1" s="4">
        <v>76</v>
      </c>
      <c r="CM1" s="12">
        <v>77</v>
      </c>
      <c r="CN1" s="4">
        <v>78</v>
      </c>
      <c r="CO1" s="4">
        <v>79</v>
      </c>
      <c r="CP1" s="12">
        <v>80</v>
      </c>
      <c r="CQ1" s="4">
        <v>81</v>
      </c>
      <c r="CR1" s="4">
        <v>82</v>
      </c>
      <c r="CS1" s="12">
        <v>83</v>
      </c>
      <c r="CT1" s="4">
        <v>84</v>
      </c>
      <c r="CU1" s="4">
        <v>85</v>
      </c>
      <c r="CV1" s="12">
        <v>86</v>
      </c>
      <c r="CW1" s="4">
        <v>87</v>
      </c>
      <c r="CX1" s="4">
        <v>88</v>
      </c>
      <c r="CY1" s="12">
        <v>89</v>
      </c>
      <c r="CZ1" s="4">
        <v>90</v>
      </c>
      <c r="DA1" s="4">
        <v>91</v>
      </c>
      <c r="DB1" s="12">
        <v>92</v>
      </c>
      <c r="DC1" s="4">
        <v>93</v>
      </c>
      <c r="DD1" s="4">
        <v>94</v>
      </c>
      <c r="DE1" s="12">
        <v>95</v>
      </c>
      <c r="DF1" s="12">
        <v>96</v>
      </c>
      <c r="DG1" s="4">
        <v>97</v>
      </c>
      <c r="DH1" s="12">
        <v>98</v>
      </c>
      <c r="DI1" s="4">
        <v>99</v>
      </c>
      <c r="DJ1" s="12">
        <v>100</v>
      </c>
      <c r="DK1" s="4">
        <v>101</v>
      </c>
      <c r="DL1" s="12">
        <v>102</v>
      </c>
      <c r="DM1" s="4">
        <v>103</v>
      </c>
      <c r="DN1" s="12">
        <v>104</v>
      </c>
      <c r="DO1" s="4">
        <v>105</v>
      </c>
      <c r="DP1" s="12">
        <v>106</v>
      </c>
      <c r="DQ1" s="4">
        <v>107</v>
      </c>
      <c r="DR1" s="12">
        <v>108</v>
      </c>
      <c r="DS1" s="4">
        <v>109</v>
      </c>
      <c r="DT1" s="12">
        <v>110</v>
      </c>
      <c r="DU1" s="4">
        <v>111</v>
      </c>
      <c r="DV1" s="12">
        <v>112</v>
      </c>
      <c r="DW1" s="4">
        <v>113</v>
      </c>
      <c r="DX1" s="12">
        <v>114</v>
      </c>
      <c r="DY1" s="4">
        <v>115</v>
      </c>
      <c r="DZ1" s="12">
        <v>116</v>
      </c>
      <c r="EA1" s="4">
        <v>117</v>
      </c>
      <c r="EB1" s="12">
        <v>118</v>
      </c>
      <c r="EC1" s="4">
        <v>119</v>
      </c>
      <c r="ED1" s="12">
        <v>120</v>
      </c>
      <c r="EE1" s="4">
        <v>121</v>
      </c>
      <c r="EF1" s="12">
        <v>122</v>
      </c>
      <c r="EG1" s="4">
        <v>123</v>
      </c>
    </row>
    <row r="2" spans="1:137" ht="13.5" hidden="1" thickBot="1" x14ac:dyDescent="0.25"/>
    <row r="3" spans="1:137" ht="21.75" customHeight="1" x14ac:dyDescent="0.2">
      <c r="O3" s="958" t="s">
        <v>176</v>
      </c>
      <c r="P3" s="959"/>
      <c r="Q3" s="959"/>
      <c r="R3" s="959"/>
      <c r="S3" s="173"/>
      <c r="T3" s="958" t="s">
        <v>177</v>
      </c>
      <c r="U3" s="959"/>
      <c r="V3" s="959"/>
      <c r="W3" s="959"/>
      <c r="X3" s="173"/>
      <c r="Y3" s="958" t="s">
        <v>178</v>
      </c>
      <c r="Z3" s="959"/>
      <c r="AA3" s="959"/>
      <c r="AB3" s="959"/>
      <c r="AC3" s="173"/>
      <c r="AD3" s="958" t="s">
        <v>179</v>
      </c>
      <c r="AE3" s="959"/>
      <c r="AF3" s="959"/>
      <c r="AG3" s="959"/>
      <c r="AH3" s="173"/>
      <c r="AI3" s="958" t="s">
        <v>180</v>
      </c>
      <c r="AJ3" s="959"/>
      <c r="AK3" s="959"/>
      <c r="AL3" s="959"/>
      <c r="AM3" s="173"/>
      <c r="AN3" s="958" t="s">
        <v>181</v>
      </c>
      <c r="AO3" s="959"/>
      <c r="AP3" s="959"/>
      <c r="AQ3" s="959"/>
      <c r="AR3" s="173"/>
      <c r="AS3" s="958" t="s">
        <v>182</v>
      </c>
      <c r="AT3" s="959"/>
      <c r="AU3" s="959"/>
      <c r="AV3" s="959"/>
      <c r="AW3" s="173"/>
      <c r="AX3" s="958" t="s">
        <v>183</v>
      </c>
      <c r="AY3" s="959"/>
      <c r="AZ3" s="959"/>
      <c r="BA3" s="959"/>
      <c r="BB3" s="173"/>
      <c r="BC3" s="958" t="s">
        <v>184</v>
      </c>
      <c r="BD3" s="959"/>
      <c r="BE3" s="959"/>
      <c r="BF3" s="959"/>
      <c r="BG3" s="173"/>
      <c r="BH3" s="958" t="s">
        <v>185</v>
      </c>
      <c r="BI3" s="959"/>
      <c r="BJ3" s="959"/>
      <c r="BK3" s="959"/>
      <c r="BL3" s="173"/>
      <c r="BM3" s="958" t="s">
        <v>186</v>
      </c>
      <c r="BN3" s="959"/>
      <c r="BO3" s="959"/>
      <c r="BP3" s="959"/>
      <c r="BQ3" s="173"/>
      <c r="BR3" s="958" t="s">
        <v>187</v>
      </c>
      <c r="BS3" s="959"/>
      <c r="BT3" s="959"/>
      <c r="BU3" s="959"/>
      <c r="BV3" s="173"/>
      <c r="BW3" s="958" t="s">
        <v>188</v>
      </c>
      <c r="BX3" s="959"/>
      <c r="BY3" s="959"/>
      <c r="BZ3" s="959"/>
      <c r="CA3" s="173"/>
      <c r="CB3" s="958" t="s">
        <v>189</v>
      </c>
      <c r="CC3" s="959"/>
      <c r="CD3" s="959"/>
      <c r="CE3" s="959"/>
      <c r="CF3" s="173"/>
      <c r="CG3" s="958"/>
      <c r="CH3" s="959"/>
      <c r="CI3" s="959"/>
      <c r="CJ3" s="960"/>
    </row>
    <row r="4" spans="1:137" ht="21" customHeight="1" x14ac:dyDescent="0.2">
      <c r="O4" s="211" t="s">
        <v>358</v>
      </c>
      <c r="P4" s="193"/>
      <c r="Q4" s="193"/>
      <c r="R4" s="193"/>
      <c r="S4" s="174"/>
      <c r="T4" s="211" t="s">
        <v>215</v>
      </c>
      <c r="U4" s="202"/>
      <c r="V4" s="202"/>
      <c r="W4" s="202"/>
      <c r="X4" s="174"/>
      <c r="Y4" s="211"/>
      <c r="Z4" s="214"/>
      <c r="AA4" s="214"/>
      <c r="AB4" s="214"/>
      <c r="AC4" s="174"/>
      <c r="AD4" s="211"/>
      <c r="AE4" s="214"/>
      <c r="AF4" s="214"/>
      <c r="AG4" s="214"/>
      <c r="AH4" s="174"/>
      <c r="AI4" s="211"/>
      <c r="AJ4" s="214"/>
      <c r="AK4" s="214"/>
      <c r="AL4" s="214"/>
      <c r="AM4" s="174"/>
      <c r="AN4" s="211"/>
      <c r="AO4" s="21"/>
      <c r="AP4" s="21"/>
      <c r="AQ4" s="21"/>
      <c r="AR4" s="174"/>
      <c r="AS4" s="211"/>
      <c r="AT4" s="21"/>
      <c r="AU4" s="21"/>
      <c r="AV4" s="21"/>
      <c r="AW4" s="174"/>
      <c r="AX4" s="157"/>
      <c r="AY4" s="21"/>
      <c r="AZ4" s="21"/>
      <c r="BA4" s="21"/>
      <c r="BB4" s="174"/>
      <c r="BC4" s="157"/>
      <c r="BD4" s="21"/>
      <c r="BE4" s="21"/>
      <c r="BF4" s="21"/>
      <c r="BG4" s="174"/>
      <c r="BH4" s="157"/>
      <c r="BI4" s="21"/>
      <c r="BJ4" s="21"/>
      <c r="BK4" s="21"/>
      <c r="BL4" s="174"/>
      <c r="BM4" s="157"/>
      <c r="BN4" s="21"/>
      <c r="BO4" s="21"/>
      <c r="BP4" s="21"/>
      <c r="BQ4" s="174"/>
      <c r="BR4" s="157"/>
      <c r="BS4" s="21"/>
      <c r="BT4" s="21"/>
      <c r="BU4" s="21"/>
      <c r="BV4" s="174"/>
      <c r="BW4" s="157"/>
      <c r="BX4" s="21"/>
      <c r="BY4" s="21"/>
      <c r="BZ4" s="21"/>
      <c r="CA4" s="174"/>
      <c r="CB4" s="157"/>
      <c r="CC4" s="21"/>
      <c r="CD4" s="21"/>
      <c r="CE4" s="21"/>
      <c r="CF4" s="174"/>
      <c r="CG4" s="14"/>
      <c r="CH4" s="21"/>
      <c r="CI4" s="21"/>
      <c r="CJ4" s="31"/>
    </row>
    <row r="5" spans="1:137" ht="21" customHeight="1" x14ac:dyDescent="0.2">
      <c r="O5" s="14"/>
      <c r="P5" s="21"/>
      <c r="Q5" s="21"/>
      <c r="R5" s="21"/>
      <c r="S5" s="174"/>
      <c r="T5" s="14"/>
      <c r="U5" s="21"/>
      <c r="V5" s="21"/>
      <c r="W5" s="21"/>
      <c r="X5" s="174"/>
      <c r="Y5" s="14"/>
      <c r="Z5" s="21"/>
      <c r="AA5" s="21"/>
      <c r="AB5" s="21"/>
      <c r="AC5" s="174"/>
      <c r="AD5" s="14"/>
      <c r="AE5" s="21"/>
      <c r="AF5" s="21"/>
      <c r="AG5" s="21"/>
      <c r="AH5" s="174"/>
      <c r="AI5" s="14"/>
      <c r="AJ5" s="21"/>
      <c r="AK5" s="21"/>
      <c r="AL5" s="21"/>
      <c r="AM5" s="174"/>
      <c r="AN5" s="14"/>
      <c r="AO5" s="21"/>
      <c r="AP5" s="21"/>
      <c r="AQ5" s="21"/>
      <c r="AR5" s="174"/>
      <c r="AS5" s="14"/>
      <c r="AT5" s="21"/>
      <c r="AU5" s="21"/>
      <c r="AV5" s="21"/>
      <c r="AW5" s="174"/>
      <c r="AX5" s="14"/>
      <c r="AY5" s="21"/>
      <c r="AZ5" s="21"/>
      <c r="BA5" s="21"/>
      <c r="BB5" s="174"/>
      <c r="BC5" s="14"/>
      <c r="BD5" s="21"/>
      <c r="BE5" s="21"/>
      <c r="BF5" s="21"/>
      <c r="BG5" s="174"/>
      <c r="BH5" s="14"/>
      <c r="BI5" s="21"/>
      <c r="BJ5" s="21"/>
      <c r="BK5" s="21"/>
      <c r="BL5" s="174"/>
      <c r="BM5" s="14"/>
      <c r="BN5" s="21"/>
      <c r="BO5" s="21"/>
      <c r="BP5" s="21"/>
      <c r="BQ5" s="174"/>
      <c r="BR5" s="14"/>
      <c r="BS5" s="21"/>
      <c r="BT5" s="21"/>
      <c r="BU5" s="21"/>
      <c r="BV5" s="174"/>
      <c r="BW5" s="14"/>
      <c r="BX5" s="21"/>
      <c r="BY5" s="21"/>
      <c r="BZ5" s="21"/>
      <c r="CA5" s="174"/>
      <c r="CB5" s="14"/>
      <c r="CC5" s="21"/>
      <c r="CD5" s="21"/>
      <c r="CE5" s="21"/>
      <c r="CF5" s="174"/>
      <c r="CG5" s="30"/>
      <c r="CH5" s="10"/>
      <c r="CI5" s="10"/>
      <c r="CJ5" s="43"/>
    </row>
    <row r="6" spans="1:137" ht="21" customHeight="1" x14ac:dyDescent="0.2">
      <c r="C6" s="18">
        <v>1</v>
      </c>
      <c r="D6" s="4">
        <v>2</v>
      </c>
      <c r="E6" s="18">
        <v>3</v>
      </c>
      <c r="F6" s="4">
        <v>4</v>
      </c>
      <c r="G6" s="18">
        <v>5</v>
      </c>
      <c r="H6" s="4">
        <v>6</v>
      </c>
      <c r="I6" s="18">
        <v>7</v>
      </c>
      <c r="J6" s="4">
        <v>8</v>
      </c>
      <c r="K6" s="18">
        <v>9</v>
      </c>
      <c r="L6" s="4">
        <v>10</v>
      </c>
      <c r="M6" s="18">
        <v>11</v>
      </c>
      <c r="N6" s="4">
        <v>12</v>
      </c>
      <c r="O6" s="950" t="s">
        <v>128</v>
      </c>
      <c r="P6" s="951"/>
      <c r="Q6" s="951"/>
      <c r="R6" s="951"/>
      <c r="S6" s="174"/>
      <c r="T6" s="950" t="s">
        <v>128</v>
      </c>
      <c r="U6" s="951"/>
      <c r="V6" s="951"/>
      <c r="W6" s="951"/>
      <c r="X6" s="174"/>
      <c r="Y6" s="950" t="s">
        <v>128</v>
      </c>
      <c r="Z6" s="951"/>
      <c r="AA6" s="951"/>
      <c r="AB6" s="951"/>
      <c r="AC6" s="174"/>
      <c r="AD6" s="950" t="s">
        <v>128</v>
      </c>
      <c r="AE6" s="951"/>
      <c r="AF6" s="951"/>
      <c r="AG6" s="951"/>
      <c r="AH6" s="174"/>
      <c r="AI6" s="950" t="s">
        <v>128</v>
      </c>
      <c r="AJ6" s="951"/>
      <c r="AK6" s="951"/>
      <c r="AL6" s="951"/>
      <c r="AM6" s="174"/>
      <c r="AN6" s="950" t="s">
        <v>128</v>
      </c>
      <c r="AO6" s="951"/>
      <c r="AP6" s="951"/>
      <c r="AQ6" s="951"/>
      <c r="AR6" s="174"/>
      <c r="AS6" s="950" t="s">
        <v>128</v>
      </c>
      <c r="AT6" s="951"/>
      <c r="AU6" s="951"/>
      <c r="AV6" s="951"/>
      <c r="AW6" s="174"/>
      <c r="AX6" s="950" t="s">
        <v>128</v>
      </c>
      <c r="AY6" s="951"/>
      <c r="AZ6" s="951"/>
      <c r="BA6" s="951"/>
      <c r="BB6" s="174"/>
      <c r="BC6" s="950" t="s">
        <v>128</v>
      </c>
      <c r="BD6" s="951"/>
      <c r="BE6" s="951"/>
      <c r="BF6" s="951"/>
      <c r="BG6" s="174"/>
      <c r="BH6" s="950" t="s">
        <v>128</v>
      </c>
      <c r="BI6" s="951"/>
      <c r="BJ6" s="951"/>
      <c r="BK6" s="951"/>
      <c r="BL6" s="174"/>
      <c r="BM6" s="950" t="s">
        <v>128</v>
      </c>
      <c r="BN6" s="951"/>
      <c r="BO6" s="951"/>
      <c r="BP6" s="951"/>
      <c r="BQ6" s="174"/>
      <c r="BR6" s="950" t="s">
        <v>128</v>
      </c>
      <c r="BS6" s="951"/>
      <c r="BT6" s="951"/>
      <c r="BU6" s="951"/>
      <c r="BV6" s="174"/>
      <c r="BW6" s="950" t="s">
        <v>128</v>
      </c>
      <c r="BX6" s="951"/>
      <c r="BY6" s="951"/>
      <c r="BZ6" s="951"/>
      <c r="CA6" s="174"/>
      <c r="CB6" s="950" t="s">
        <v>128</v>
      </c>
      <c r="CC6" s="951"/>
      <c r="CD6" s="951"/>
      <c r="CE6" s="951"/>
      <c r="CF6" s="174"/>
      <c r="CG6" s="955"/>
      <c r="CH6" s="956"/>
      <c r="CI6" s="956"/>
      <c r="CJ6" s="957"/>
    </row>
    <row r="7" spans="1:137" ht="21" customHeight="1" x14ac:dyDescent="0.2">
      <c r="A7" s="4">
        <v>1</v>
      </c>
      <c r="B7" s="18">
        <v>2</v>
      </c>
      <c r="C7" s="4">
        <v>3</v>
      </c>
      <c r="D7" s="18">
        <v>4</v>
      </c>
      <c r="E7" s="4">
        <v>5</v>
      </c>
      <c r="F7" s="18">
        <v>6</v>
      </c>
      <c r="G7" s="4">
        <v>7</v>
      </c>
      <c r="H7" s="18">
        <v>8</v>
      </c>
      <c r="I7" s="4">
        <v>9</v>
      </c>
      <c r="J7" s="18">
        <v>10</v>
      </c>
      <c r="K7" s="4">
        <v>11</v>
      </c>
      <c r="L7" s="4">
        <v>12</v>
      </c>
      <c r="O7" s="948">
        <v>240000</v>
      </c>
      <c r="P7" s="949"/>
      <c r="Q7" s="949"/>
      <c r="R7" s="949"/>
      <c r="S7" s="175"/>
      <c r="T7" s="948">
        <v>250000</v>
      </c>
      <c r="U7" s="949"/>
      <c r="V7" s="949"/>
      <c r="W7" s="949"/>
      <c r="X7" s="175"/>
      <c r="Y7" s="948">
        <v>190000</v>
      </c>
      <c r="Z7" s="949"/>
      <c r="AA7" s="949"/>
      <c r="AB7" s="949"/>
      <c r="AC7" s="175"/>
      <c r="AD7" s="948">
        <v>190000</v>
      </c>
      <c r="AE7" s="949"/>
      <c r="AF7" s="949"/>
      <c r="AG7" s="949"/>
      <c r="AH7" s="175"/>
      <c r="AI7" s="948">
        <v>170000</v>
      </c>
      <c r="AJ7" s="949"/>
      <c r="AK7" s="949"/>
      <c r="AL7" s="949"/>
      <c r="AM7" s="175"/>
      <c r="AN7" s="948">
        <v>170000</v>
      </c>
      <c r="AO7" s="949"/>
      <c r="AP7" s="949"/>
      <c r="AQ7" s="949"/>
      <c r="AR7" s="175"/>
      <c r="AS7" s="948">
        <v>170000</v>
      </c>
      <c r="AT7" s="949"/>
      <c r="AU7" s="949"/>
      <c r="AV7" s="949"/>
      <c r="AW7" s="175"/>
      <c r="AX7" s="948">
        <v>130000</v>
      </c>
      <c r="AY7" s="949"/>
      <c r="AZ7" s="949"/>
      <c r="BA7" s="949"/>
      <c r="BB7" s="175"/>
      <c r="BC7" s="948">
        <v>130000</v>
      </c>
      <c r="BD7" s="949"/>
      <c r="BE7" s="949"/>
      <c r="BF7" s="949"/>
      <c r="BG7" s="175"/>
      <c r="BH7" s="948">
        <v>130000</v>
      </c>
      <c r="BI7" s="949"/>
      <c r="BJ7" s="949"/>
      <c r="BK7" s="949"/>
      <c r="BL7" s="175"/>
      <c r="BM7" s="948">
        <v>130000</v>
      </c>
      <c r="BN7" s="949"/>
      <c r="BO7" s="949"/>
      <c r="BP7" s="949"/>
      <c r="BQ7" s="175"/>
      <c r="BR7" s="948">
        <v>130000</v>
      </c>
      <c r="BS7" s="949"/>
      <c r="BT7" s="949"/>
      <c r="BU7" s="949"/>
      <c r="BV7" s="175"/>
      <c r="BW7" s="948">
        <v>130000</v>
      </c>
      <c r="BX7" s="949"/>
      <c r="BY7" s="949"/>
      <c r="BZ7" s="949"/>
      <c r="CA7" s="175"/>
      <c r="CB7" s="948">
        <v>130000</v>
      </c>
      <c r="CC7" s="949"/>
      <c r="CD7" s="949"/>
      <c r="CE7" s="949"/>
      <c r="CF7" s="175"/>
      <c r="CG7" s="952"/>
      <c r="CH7" s="953"/>
      <c r="CI7" s="953"/>
      <c r="CJ7" s="954"/>
    </row>
    <row r="8" spans="1:137" ht="11.25" customHeight="1" x14ac:dyDescent="0.2">
      <c r="A8" s="946" t="s">
        <v>123</v>
      </c>
      <c r="B8" s="946"/>
      <c r="C8" s="946"/>
      <c r="D8" s="63" t="s">
        <v>10</v>
      </c>
      <c r="E8" s="63"/>
      <c r="F8" s="63" t="s">
        <v>117</v>
      </c>
      <c r="G8" s="63"/>
      <c r="H8" s="63"/>
      <c r="I8" s="64"/>
      <c r="J8" s="947" t="str">
        <f>P9</f>
        <v>Prazo Para Chaves</v>
      </c>
      <c r="K8" s="947" t="s">
        <v>142</v>
      </c>
      <c r="L8" s="64" t="s">
        <v>13</v>
      </c>
      <c r="M8" s="64" t="s">
        <v>147</v>
      </c>
      <c r="N8" s="166" t="s">
        <v>13</v>
      </c>
      <c r="O8" s="30"/>
      <c r="P8" s="32"/>
      <c r="Q8" s="32"/>
      <c r="R8" s="32"/>
      <c r="S8" s="43"/>
      <c r="T8" s="30"/>
      <c r="U8" s="32"/>
      <c r="V8" s="32"/>
      <c r="W8" s="32"/>
      <c r="X8" s="43"/>
      <c r="Y8" s="30"/>
      <c r="Z8" s="32"/>
      <c r="AA8" s="32"/>
      <c r="AB8" s="32"/>
      <c r="AC8" s="43"/>
      <c r="AD8" s="30"/>
      <c r="AE8" s="32"/>
      <c r="AF8" s="32"/>
      <c r="AG8" s="32"/>
      <c r="AH8" s="43"/>
      <c r="AI8" s="30"/>
      <c r="AJ8" s="32"/>
      <c r="AK8" s="32"/>
      <c r="AL8" s="32"/>
      <c r="AM8" s="43"/>
      <c r="AN8" s="30"/>
      <c r="AO8" s="32"/>
      <c r="AP8" s="32"/>
      <c r="AQ8" s="32"/>
      <c r="AR8" s="43"/>
      <c r="AS8" s="30"/>
      <c r="AT8" s="32"/>
      <c r="AU8" s="32"/>
      <c r="AV8" s="32"/>
      <c r="AW8" s="43"/>
      <c r="AX8" s="30"/>
      <c r="AY8" s="32"/>
      <c r="AZ8" s="32"/>
      <c r="BA8" s="32"/>
      <c r="BB8" s="43"/>
      <c r="BC8" s="30"/>
      <c r="BD8" s="32"/>
      <c r="BE8" s="32"/>
      <c r="BF8" s="32"/>
      <c r="BG8" s="43"/>
      <c r="BH8" s="30"/>
      <c r="BI8" s="32"/>
      <c r="BJ8" s="32"/>
      <c r="BK8" s="32"/>
      <c r="BL8" s="43"/>
      <c r="BM8" s="30"/>
      <c r="BN8" s="32"/>
      <c r="BO8" s="32"/>
      <c r="BP8" s="32"/>
      <c r="BQ8" s="43"/>
      <c r="BR8" s="30"/>
      <c r="BS8" s="32"/>
      <c r="BT8" s="32"/>
      <c r="BU8" s="32"/>
      <c r="BV8" s="43"/>
      <c r="BW8" s="30"/>
      <c r="BX8" s="32"/>
      <c r="BY8" s="32"/>
      <c r="BZ8" s="32"/>
      <c r="CA8" s="43"/>
      <c r="CB8" s="30"/>
      <c r="CC8" s="32"/>
      <c r="CD8" s="32"/>
      <c r="CE8" s="32"/>
      <c r="CF8" s="43"/>
      <c r="CG8" s="30"/>
      <c r="CH8" s="32"/>
      <c r="CI8" s="32"/>
      <c r="CJ8" s="33"/>
    </row>
    <row r="9" spans="1:137" ht="25.5" x14ac:dyDescent="0.2">
      <c r="A9" s="946"/>
      <c r="B9" s="946"/>
      <c r="C9" s="946"/>
      <c r="D9" s="63" t="s">
        <v>138</v>
      </c>
      <c r="E9" s="63" t="s">
        <v>139</v>
      </c>
      <c r="F9" s="63" t="s">
        <v>114</v>
      </c>
      <c r="G9" s="63" t="s">
        <v>115</v>
      </c>
      <c r="H9" s="63" t="s">
        <v>116</v>
      </c>
      <c r="I9" s="64" t="s">
        <v>130</v>
      </c>
      <c r="J9" s="947"/>
      <c r="K9" s="947"/>
      <c r="L9" s="64"/>
      <c r="M9" s="64"/>
      <c r="N9" s="166"/>
      <c r="O9" s="30"/>
      <c r="P9" s="181" t="s">
        <v>175</v>
      </c>
      <c r="Q9" s="15" t="s">
        <v>141</v>
      </c>
      <c r="R9" s="164"/>
      <c r="S9" s="43"/>
      <c r="T9" s="30"/>
      <c r="U9" s="181" t="s">
        <v>175</v>
      </c>
      <c r="V9" s="15" t="s">
        <v>141</v>
      </c>
      <c r="W9" s="164"/>
      <c r="X9" s="43"/>
      <c r="Y9" s="30"/>
      <c r="Z9" s="181" t="s">
        <v>175</v>
      </c>
      <c r="AA9" s="15" t="s">
        <v>141</v>
      </c>
      <c r="AB9" s="164"/>
      <c r="AC9" s="43"/>
      <c r="AD9" s="30"/>
      <c r="AE9" s="181" t="s">
        <v>175</v>
      </c>
      <c r="AF9" s="15" t="s">
        <v>141</v>
      </c>
      <c r="AG9" s="164"/>
      <c r="AH9" s="43"/>
      <c r="AI9" s="30"/>
      <c r="AJ9" s="181" t="s">
        <v>175</v>
      </c>
      <c r="AK9" s="15" t="s">
        <v>141</v>
      </c>
      <c r="AL9" s="164"/>
      <c r="AM9" s="43"/>
      <c r="AN9" s="30"/>
      <c r="AO9" s="181" t="s">
        <v>175</v>
      </c>
      <c r="AP9" s="15" t="s">
        <v>141</v>
      </c>
      <c r="AQ9" s="164"/>
      <c r="AR9" s="43"/>
      <c r="AS9" s="30"/>
      <c r="AT9" s="181" t="s">
        <v>175</v>
      </c>
      <c r="AU9" s="15" t="s">
        <v>141</v>
      </c>
      <c r="AV9" s="164"/>
      <c r="AW9" s="43"/>
      <c r="AX9" s="30"/>
      <c r="AY9" s="181" t="s">
        <v>175</v>
      </c>
      <c r="AZ9" s="15" t="s">
        <v>141</v>
      </c>
      <c r="BA9" s="164"/>
      <c r="BB9" s="43"/>
      <c r="BC9" s="30"/>
      <c r="BD9" s="181" t="s">
        <v>175</v>
      </c>
      <c r="BE9" s="15" t="s">
        <v>141</v>
      </c>
      <c r="BF9" s="164"/>
      <c r="BG9" s="43"/>
      <c r="BH9" s="30"/>
      <c r="BI9" s="181" t="s">
        <v>175</v>
      </c>
      <c r="BJ9" s="15" t="s">
        <v>141</v>
      </c>
      <c r="BK9" s="164"/>
      <c r="BL9" s="43"/>
      <c r="BM9" s="30"/>
      <c r="BN9" s="181" t="s">
        <v>175</v>
      </c>
      <c r="BO9" s="15" t="s">
        <v>141</v>
      </c>
      <c r="BP9" s="164"/>
      <c r="BQ9" s="43"/>
      <c r="BR9" s="30"/>
      <c r="BS9" s="181" t="s">
        <v>175</v>
      </c>
      <c r="BT9" s="15" t="s">
        <v>141</v>
      </c>
      <c r="BU9" s="164"/>
      <c r="BV9" s="43"/>
      <c r="BW9" s="30"/>
      <c r="BX9" s="181" t="s">
        <v>175</v>
      </c>
      <c r="BY9" s="15" t="s">
        <v>141</v>
      </c>
      <c r="BZ9" s="164"/>
      <c r="CA9" s="43"/>
      <c r="CB9" s="30"/>
      <c r="CC9" s="181" t="s">
        <v>140</v>
      </c>
      <c r="CD9" s="15" t="s">
        <v>141</v>
      </c>
      <c r="CE9" s="164"/>
      <c r="CF9" s="43"/>
      <c r="CG9" s="30"/>
      <c r="CH9" s="16"/>
      <c r="CI9" s="17"/>
      <c r="CJ9" s="49"/>
    </row>
    <row r="10" spans="1:137" x14ac:dyDescent="0.2">
      <c r="A10" s="66">
        <v>1</v>
      </c>
      <c r="B10" s="380" t="s">
        <v>406</v>
      </c>
      <c r="C10" s="66">
        <v>1</v>
      </c>
      <c r="D10" s="65">
        <v>3</v>
      </c>
      <c r="E10" s="65">
        <f>D10+1</f>
        <v>4</v>
      </c>
      <c r="F10" s="65">
        <v>2</v>
      </c>
      <c r="G10" s="65">
        <v>3</v>
      </c>
      <c r="H10" s="65">
        <f>4</f>
        <v>4</v>
      </c>
      <c r="I10" s="68">
        <f>O7</f>
        <v>240000</v>
      </c>
      <c r="J10" s="68">
        <f>P10</f>
        <v>0</v>
      </c>
      <c r="K10" s="69">
        <v>44713</v>
      </c>
      <c r="L10" s="68"/>
      <c r="M10" s="68">
        <f>O14</f>
        <v>0</v>
      </c>
      <c r="N10" s="166">
        <v>5</v>
      </c>
      <c r="O10" s="30"/>
      <c r="P10" s="208"/>
      <c r="Q10" s="209">
        <v>44134</v>
      </c>
      <c r="R10" s="164"/>
      <c r="S10" s="167"/>
      <c r="T10" s="30"/>
      <c r="U10" s="208">
        <f>P10</f>
        <v>0</v>
      </c>
      <c r="V10" s="209">
        <f>Q10</f>
        <v>44134</v>
      </c>
      <c r="W10" s="164"/>
      <c r="X10" s="167"/>
      <c r="Y10" s="30"/>
      <c r="Z10" s="208"/>
      <c r="AA10" s="209"/>
      <c r="AB10" s="164"/>
      <c r="AC10" s="167"/>
      <c r="AD10" s="30"/>
      <c r="AE10" s="208"/>
      <c r="AF10" s="209"/>
      <c r="AG10" s="164"/>
      <c r="AH10" s="167"/>
      <c r="AI10" s="30"/>
      <c r="AJ10" s="208">
        <f>AE10</f>
        <v>0</v>
      </c>
      <c r="AK10" s="209"/>
      <c r="AL10" s="164"/>
      <c r="AM10" s="167"/>
      <c r="AN10" s="30"/>
      <c r="AO10" s="158"/>
      <c r="AP10" s="159"/>
      <c r="AQ10" s="164"/>
      <c r="AR10" s="167"/>
      <c r="AS10" s="30"/>
      <c r="AT10" s="158"/>
      <c r="AU10" s="159"/>
      <c r="AV10" s="164"/>
      <c r="AW10" s="167"/>
      <c r="AX10" s="30"/>
      <c r="AY10" s="158"/>
      <c r="AZ10" s="159"/>
      <c r="BA10" s="164"/>
      <c r="BB10" s="167"/>
      <c r="BC10" s="30"/>
      <c r="BD10" s="158"/>
      <c r="BE10" s="159"/>
      <c r="BF10" s="164"/>
      <c r="BG10" s="167"/>
      <c r="BH10" s="30"/>
      <c r="BI10" s="158"/>
      <c r="BJ10" s="159"/>
      <c r="BK10" s="164"/>
      <c r="BL10" s="167"/>
      <c r="BM10" s="30"/>
      <c r="BN10" s="158"/>
      <c r="BO10" s="159"/>
      <c r="BP10" s="164"/>
      <c r="BQ10" s="167"/>
      <c r="BR10" s="30"/>
      <c r="BS10" s="158"/>
      <c r="BT10" s="159"/>
      <c r="BU10" s="164"/>
      <c r="BV10" s="167"/>
      <c r="BW10" s="30"/>
      <c r="BX10" s="158"/>
      <c r="BY10" s="159"/>
      <c r="BZ10" s="164"/>
      <c r="CA10" s="167"/>
      <c r="CB10" s="30"/>
      <c r="CC10" s="158"/>
      <c r="CD10" s="159"/>
      <c r="CE10" s="164"/>
      <c r="CF10" s="167"/>
      <c r="CG10" s="30"/>
      <c r="CH10" s="16"/>
      <c r="CI10" s="17"/>
      <c r="CJ10" s="11"/>
    </row>
    <row r="11" spans="1:137" ht="13.5" thickBot="1" x14ac:dyDescent="0.25">
      <c r="A11" s="66">
        <v>2</v>
      </c>
      <c r="B11" s="67" t="str">
        <f>T4</f>
        <v>DEZ VISTA ALEGRE - BLOCOS 1 e 2</v>
      </c>
      <c r="C11" s="66">
        <v>2</v>
      </c>
      <c r="D11" s="65">
        <f>D10+5</f>
        <v>8</v>
      </c>
      <c r="E11" s="65">
        <f t="shared" ref="E11:E23" si="0">D11+1</f>
        <v>9</v>
      </c>
      <c r="F11" s="65">
        <f>F10+5</f>
        <v>7</v>
      </c>
      <c r="G11" s="65">
        <f>G10+5</f>
        <v>8</v>
      </c>
      <c r="H11" s="65">
        <f>H10+5</f>
        <v>9</v>
      </c>
      <c r="I11" s="68">
        <f>T7</f>
        <v>250000</v>
      </c>
      <c r="J11" s="68">
        <f>U10</f>
        <v>0</v>
      </c>
      <c r="K11" s="69">
        <v>44165</v>
      </c>
      <c r="L11" s="68"/>
      <c r="M11" s="68">
        <f>W10</f>
        <v>0</v>
      </c>
      <c r="N11" s="166">
        <f>N10+5</f>
        <v>10</v>
      </c>
      <c r="O11" s="30"/>
      <c r="P11" s="32"/>
      <c r="Q11" s="163"/>
      <c r="R11" s="165"/>
      <c r="S11" s="167"/>
      <c r="T11" s="30"/>
      <c r="U11" s="32"/>
      <c r="V11" s="163"/>
      <c r="W11" s="165"/>
      <c r="X11" s="167"/>
      <c r="Y11" s="30"/>
      <c r="Z11" s="32"/>
      <c r="AA11" s="163"/>
      <c r="AB11" s="165"/>
      <c r="AC11" s="167"/>
      <c r="AD11" s="30"/>
      <c r="AE11" s="32"/>
      <c r="AF11" s="163"/>
      <c r="AG11" s="165"/>
      <c r="AH11" s="167"/>
      <c r="AI11" s="30"/>
      <c r="AJ11" s="32"/>
      <c r="AK11" s="163"/>
      <c r="AL11" s="165"/>
      <c r="AM11" s="167"/>
      <c r="AN11" s="30"/>
      <c r="AO11" s="32"/>
      <c r="AP11" s="163"/>
      <c r="AQ11" s="165"/>
      <c r="AR11" s="167"/>
      <c r="AS11" s="30"/>
      <c r="AT11" s="32"/>
      <c r="AU11" s="163"/>
      <c r="AV11" s="165"/>
      <c r="AW11" s="167"/>
      <c r="AX11" s="30"/>
      <c r="AY11" s="32"/>
      <c r="AZ11" s="163"/>
      <c r="BA11" s="165"/>
      <c r="BB11" s="167"/>
      <c r="BC11" s="30"/>
      <c r="BD11" s="32"/>
      <c r="BE11" s="163"/>
      <c r="BF11" s="165"/>
      <c r="BG11" s="167"/>
      <c r="BH11" s="30"/>
      <c r="BI11" s="32"/>
      <c r="BJ11" s="163"/>
      <c r="BK11" s="165"/>
      <c r="BL11" s="167"/>
      <c r="BM11" s="30"/>
      <c r="BN11" s="32"/>
      <c r="BO11" s="163"/>
      <c r="BP11" s="165"/>
      <c r="BQ11" s="167"/>
      <c r="BR11" s="30"/>
      <c r="BS11" s="32"/>
      <c r="BT11" s="163"/>
      <c r="BU11" s="165"/>
      <c r="BV11" s="167"/>
      <c r="BW11" s="30"/>
      <c r="BX11" s="32"/>
      <c r="BY11" s="163"/>
      <c r="BZ11" s="165"/>
      <c r="CA11" s="167"/>
      <c r="CB11" s="30"/>
      <c r="CC11" s="32"/>
      <c r="CD11" s="163"/>
      <c r="CE11" s="165"/>
      <c r="CF11" s="167"/>
      <c r="CG11" s="30"/>
      <c r="CH11" s="16"/>
      <c r="CI11" s="19"/>
      <c r="CJ11" s="49"/>
    </row>
    <row r="12" spans="1:137" ht="13.5" thickBot="1" x14ac:dyDescent="0.25">
      <c r="A12" s="66">
        <v>3</v>
      </c>
      <c r="B12" s="67">
        <f>Y4</f>
        <v>0</v>
      </c>
      <c r="C12" s="66">
        <v>3</v>
      </c>
      <c r="D12" s="65">
        <f t="shared" ref="D12:D23" si="1">D11+5</f>
        <v>13</v>
      </c>
      <c r="E12" s="65">
        <f t="shared" si="0"/>
        <v>14</v>
      </c>
      <c r="F12" s="65">
        <f t="shared" ref="F12:F23" si="2">F11+5</f>
        <v>12</v>
      </c>
      <c r="G12" s="65">
        <f t="shared" ref="G12:G23" si="3">G11+5</f>
        <v>13</v>
      </c>
      <c r="H12" s="65">
        <f t="shared" ref="H12:H23" si="4">H11+5</f>
        <v>14</v>
      </c>
      <c r="I12" s="68">
        <f>Y7</f>
        <v>190000</v>
      </c>
      <c r="J12" s="68">
        <f>Z10</f>
        <v>0</v>
      </c>
      <c r="K12" s="69">
        <f>AA10</f>
        <v>0</v>
      </c>
      <c r="L12" s="68"/>
      <c r="M12" s="68">
        <f>AB10</f>
        <v>0</v>
      </c>
      <c r="N12" s="166">
        <f>N11+5</f>
        <v>15</v>
      </c>
      <c r="O12" s="30"/>
      <c r="P12" s="318" t="s">
        <v>208</v>
      </c>
      <c r="Q12" s="163"/>
      <c r="R12" s="163"/>
      <c r="S12" s="167"/>
      <c r="T12" s="30"/>
      <c r="U12" s="318" t="s">
        <v>208</v>
      </c>
      <c r="V12" s="163"/>
      <c r="W12" s="163"/>
      <c r="X12" s="167"/>
      <c r="Y12" s="30"/>
      <c r="Z12" s="318" t="s">
        <v>208</v>
      </c>
      <c r="AA12" s="163"/>
      <c r="AB12" s="163"/>
      <c r="AC12" s="167"/>
      <c r="AD12" s="30"/>
      <c r="AE12" s="32"/>
      <c r="AF12" s="163"/>
      <c r="AG12" s="163"/>
      <c r="AH12" s="167"/>
      <c r="AI12" s="30"/>
      <c r="AJ12" s="32"/>
      <c r="AK12" s="163"/>
      <c r="AL12" s="163"/>
      <c r="AM12" s="167"/>
      <c r="AN12" s="30"/>
      <c r="AO12" s="32"/>
      <c r="AP12" s="163"/>
      <c r="AQ12" s="163"/>
      <c r="AR12" s="167"/>
      <c r="AS12" s="30"/>
      <c r="AT12" s="32"/>
      <c r="AU12" s="163"/>
      <c r="AV12" s="163"/>
      <c r="AW12" s="167"/>
      <c r="AX12" s="30"/>
      <c r="AY12" s="32"/>
      <c r="AZ12" s="163"/>
      <c r="BA12" s="163"/>
      <c r="BB12" s="167"/>
      <c r="BC12" s="30"/>
      <c r="BD12" s="32"/>
      <c r="BE12" s="163"/>
      <c r="BF12" s="163"/>
      <c r="BG12" s="167"/>
      <c r="BH12" s="30"/>
      <c r="BI12" s="32"/>
      <c r="BJ12" s="163"/>
      <c r="BK12" s="163"/>
      <c r="BL12" s="167"/>
      <c r="BM12" s="30"/>
      <c r="BN12" s="32"/>
      <c r="BO12" s="163"/>
      <c r="BP12" s="163"/>
      <c r="BQ12" s="167"/>
      <c r="BR12" s="30"/>
      <c r="BS12" s="32"/>
      <c r="BT12" s="163"/>
      <c r="BU12" s="163"/>
      <c r="BV12" s="167"/>
      <c r="BW12" s="30"/>
      <c r="BX12" s="32"/>
      <c r="BY12" s="163"/>
      <c r="BZ12" s="163"/>
      <c r="CA12" s="167"/>
      <c r="CB12" s="30"/>
      <c r="CC12" s="32"/>
      <c r="CD12" s="163"/>
      <c r="CE12" s="163"/>
      <c r="CF12" s="167"/>
      <c r="CG12" s="30"/>
      <c r="CH12" s="16"/>
      <c r="CI12" s="16"/>
      <c r="CJ12" s="60"/>
    </row>
    <row r="13" spans="1:137" ht="13.5" thickBot="1" x14ac:dyDescent="0.25">
      <c r="A13" s="66">
        <v>4</v>
      </c>
      <c r="B13" s="67">
        <f>AD4</f>
        <v>0</v>
      </c>
      <c r="C13" s="66">
        <v>4</v>
      </c>
      <c r="D13" s="65">
        <f t="shared" si="1"/>
        <v>18</v>
      </c>
      <c r="E13" s="65">
        <f t="shared" si="0"/>
        <v>19</v>
      </c>
      <c r="F13" s="65">
        <f t="shared" si="2"/>
        <v>17</v>
      </c>
      <c r="G13" s="65">
        <f t="shared" si="3"/>
        <v>18</v>
      </c>
      <c r="H13" s="65">
        <f t="shared" si="4"/>
        <v>19</v>
      </c>
      <c r="I13" s="68">
        <f>AD7</f>
        <v>190000</v>
      </c>
      <c r="J13" s="68">
        <f>AE10</f>
        <v>0</v>
      </c>
      <c r="K13" s="69">
        <f>AF10</f>
        <v>0</v>
      </c>
      <c r="L13" s="68"/>
      <c r="M13" s="68">
        <f>AG10</f>
        <v>0</v>
      </c>
      <c r="N13" s="166">
        <f>N12+5</f>
        <v>20</v>
      </c>
      <c r="O13" s="168"/>
      <c r="P13" s="319">
        <v>0</v>
      </c>
      <c r="Q13" s="32"/>
      <c r="R13" s="32"/>
      <c r="S13" s="167"/>
      <c r="T13" s="168"/>
      <c r="U13" s="319">
        <v>0</v>
      </c>
      <c r="V13" s="32"/>
      <c r="W13" s="32"/>
      <c r="X13" s="167"/>
      <c r="Y13" s="168"/>
      <c r="Z13" s="319">
        <v>0</v>
      </c>
      <c r="AA13" s="32"/>
      <c r="AB13" s="32"/>
      <c r="AC13" s="167"/>
      <c r="AD13" s="168"/>
      <c r="AE13" s="32"/>
      <c r="AF13" s="32"/>
      <c r="AG13" s="32"/>
      <c r="AH13" s="167"/>
      <c r="AI13" s="168"/>
      <c r="AJ13" s="32"/>
      <c r="AK13" s="32"/>
      <c r="AL13" s="32"/>
      <c r="AM13" s="167"/>
      <c r="AN13" s="168"/>
      <c r="AO13" s="32"/>
      <c r="AP13" s="32"/>
      <c r="AQ13" s="32"/>
      <c r="AR13" s="167"/>
      <c r="AS13" s="168"/>
      <c r="AT13" s="32"/>
      <c r="AU13" s="32"/>
      <c r="AV13" s="32"/>
      <c r="AW13" s="167"/>
      <c r="AX13" s="168"/>
      <c r="AY13" s="32"/>
      <c r="AZ13" s="32"/>
      <c r="BA13" s="32"/>
      <c r="BB13" s="167"/>
      <c r="BC13" s="168"/>
      <c r="BD13" s="32"/>
      <c r="BE13" s="32"/>
      <c r="BF13" s="32"/>
      <c r="BG13" s="167"/>
      <c r="BH13" s="168"/>
      <c r="BI13" s="32"/>
      <c r="BJ13" s="32"/>
      <c r="BK13" s="32"/>
      <c r="BL13" s="167"/>
      <c r="BM13" s="168"/>
      <c r="BN13" s="32"/>
      <c r="BO13" s="32"/>
      <c r="BP13" s="32"/>
      <c r="BQ13" s="167"/>
      <c r="BR13" s="168"/>
      <c r="BS13" s="32"/>
      <c r="BT13" s="32"/>
      <c r="BU13" s="32"/>
      <c r="BV13" s="167"/>
      <c r="BW13" s="168"/>
      <c r="BX13" s="32"/>
      <c r="BY13" s="32"/>
      <c r="BZ13" s="32"/>
      <c r="CA13" s="167"/>
      <c r="CB13" s="168"/>
      <c r="CC13" s="32"/>
      <c r="CD13" s="32"/>
      <c r="CE13" s="32"/>
      <c r="CF13" s="167"/>
      <c r="CG13" s="30"/>
      <c r="CH13" s="16"/>
      <c r="CI13" s="20"/>
      <c r="CJ13" s="33"/>
    </row>
    <row r="14" spans="1:137" ht="13.5" thickBot="1" x14ac:dyDescent="0.25">
      <c r="A14" s="66">
        <v>5</v>
      </c>
      <c r="B14" s="67">
        <f>AI4</f>
        <v>0</v>
      </c>
      <c r="C14" s="66">
        <v>5</v>
      </c>
      <c r="D14" s="65">
        <f t="shared" si="1"/>
        <v>23</v>
      </c>
      <c r="E14" s="65">
        <f t="shared" si="0"/>
        <v>24</v>
      </c>
      <c r="F14" s="65">
        <f t="shared" si="2"/>
        <v>22</v>
      </c>
      <c r="G14" s="65">
        <f t="shared" si="3"/>
        <v>23</v>
      </c>
      <c r="H14" s="65">
        <f t="shared" si="4"/>
        <v>24</v>
      </c>
      <c r="I14" s="68">
        <f>AI7</f>
        <v>170000</v>
      </c>
      <c r="J14" s="68">
        <f>AJ10</f>
        <v>0</v>
      </c>
      <c r="K14" s="69">
        <f>AK10</f>
        <v>0</v>
      </c>
      <c r="L14" s="68"/>
      <c r="M14" s="68">
        <f>AL10</f>
        <v>0</v>
      </c>
      <c r="N14" s="166">
        <f t="shared" ref="N14:N23" si="5">N13+5</f>
        <v>25</v>
      </c>
      <c r="O14" s="169"/>
      <c r="P14" s="32"/>
      <c r="Q14" s="32"/>
      <c r="R14" s="32"/>
      <c r="S14" s="167"/>
      <c r="T14" s="169"/>
      <c r="U14" s="32"/>
      <c r="V14" s="32"/>
      <c r="W14" s="32"/>
      <c r="X14" s="167"/>
      <c r="Y14" s="169"/>
      <c r="Z14" s="32"/>
      <c r="AA14" s="32"/>
      <c r="AB14" s="32"/>
      <c r="AC14" s="167"/>
      <c r="AD14" s="169"/>
      <c r="AE14" s="32"/>
      <c r="AF14" s="32"/>
      <c r="AG14" s="32"/>
      <c r="AH14" s="167"/>
      <c r="AI14" s="169"/>
      <c r="AJ14" s="32"/>
      <c r="AK14" s="32"/>
      <c r="AL14" s="32"/>
      <c r="AM14" s="167"/>
      <c r="AN14" s="169"/>
      <c r="AO14" s="32"/>
      <c r="AP14" s="32"/>
      <c r="AQ14" s="32"/>
      <c r="AR14" s="167"/>
      <c r="AS14" s="169"/>
      <c r="AT14" s="32"/>
      <c r="AU14" s="32"/>
      <c r="AV14" s="32"/>
      <c r="AW14" s="167"/>
      <c r="AX14" s="169"/>
      <c r="AY14" s="32"/>
      <c r="AZ14" s="32"/>
      <c r="BA14" s="32"/>
      <c r="BB14" s="167"/>
      <c r="BC14" s="169"/>
      <c r="BD14" s="32"/>
      <c r="BE14" s="32"/>
      <c r="BF14" s="32"/>
      <c r="BG14" s="167"/>
      <c r="BH14" s="169"/>
      <c r="BI14" s="32"/>
      <c r="BJ14" s="32"/>
      <c r="BK14" s="32"/>
      <c r="BL14" s="167"/>
      <c r="BM14" s="169"/>
      <c r="BN14" s="32"/>
      <c r="BO14" s="32"/>
      <c r="BP14" s="32"/>
      <c r="BQ14" s="167"/>
      <c r="BR14" s="169"/>
      <c r="BS14" s="32"/>
      <c r="BT14" s="32"/>
      <c r="BU14" s="32"/>
      <c r="BV14" s="167"/>
      <c r="BW14" s="169"/>
      <c r="BX14" s="32"/>
      <c r="BY14" s="32"/>
      <c r="BZ14" s="32"/>
      <c r="CA14" s="167"/>
      <c r="CB14" s="169"/>
      <c r="CC14" s="32"/>
      <c r="CD14" s="32"/>
      <c r="CE14" s="32"/>
      <c r="CF14" s="167"/>
      <c r="CG14" s="30"/>
      <c r="CH14" s="32"/>
      <c r="CI14" s="32"/>
      <c r="CJ14" s="33"/>
    </row>
    <row r="15" spans="1:137" ht="18.75" customHeight="1" thickBot="1" x14ac:dyDescent="0.25">
      <c r="A15" s="66">
        <v>6</v>
      </c>
      <c r="B15" s="67">
        <f>AN4</f>
        <v>0</v>
      </c>
      <c r="C15" s="66">
        <v>6</v>
      </c>
      <c r="D15" s="65">
        <f t="shared" si="1"/>
        <v>28</v>
      </c>
      <c r="E15" s="65">
        <f t="shared" si="0"/>
        <v>29</v>
      </c>
      <c r="F15" s="65">
        <f t="shared" si="2"/>
        <v>27</v>
      </c>
      <c r="G15" s="65">
        <f t="shared" si="3"/>
        <v>28</v>
      </c>
      <c r="H15" s="65">
        <f t="shared" si="4"/>
        <v>29</v>
      </c>
      <c r="I15" s="68">
        <f>AN7</f>
        <v>170000</v>
      </c>
      <c r="J15" s="68">
        <f>AO10</f>
        <v>0</v>
      </c>
      <c r="K15" s="69">
        <f>AP10</f>
        <v>0</v>
      </c>
      <c r="L15" s="68"/>
      <c r="M15" s="68">
        <f>AQ10</f>
        <v>0</v>
      </c>
      <c r="N15" s="166">
        <f t="shared" si="5"/>
        <v>30</v>
      </c>
      <c r="O15" s="170"/>
      <c r="P15" s="339" t="s">
        <v>222</v>
      </c>
      <c r="Q15" s="340" t="s">
        <v>17</v>
      </c>
      <c r="R15" s="340" t="s">
        <v>16</v>
      </c>
      <c r="S15" s="35" t="s">
        <v>13</v>
      </c>
      <c r="T15" s="170"/>
      <c r="U15" s="15" t="s">
        <v>113</v>
      </c>
      <c r="V15" s="15" t="s">
        <v>17</v>
      </c>
      <c r="W15" s="15" t="s">
        <v>16</v>
      </c>
      <c r="X15" s="35" t="s">
        <v>13</v>
      </c>
      <c r="Y15" s="170"/>
      <c r="Z15" s="15" t="s">
        <v>113</v>
      </c>
      <c r="AA15" s="15" t="s">
        <v>17</v>
      </c>
      <c r="AB15" s="15" t="s">
        <v>16</v>
      </c>
      <c r="AC15" s="35" t="s">
        <v>13</v>
      </c>
      <c r="AD15" s="170"/>
      <c r="AE15" s="15" t="s">
        <v>113</v>
      </c>
      <c r="AF15" s="15" t="s">
        <v>17</v>
      </c>
      <c r="AG15" s="15" t="s">
        <v>16</v>
      </c>
      <c r="AH15" s="35" t="s">
        <v>13</v>
      </c>
      <c r="AI15" s="170"/>
      <c r="AJ15" s="15" t="s">
        <v>113</v>
      </c>
      <c r="AK15" s="15" t="s">
        <v>17</v>
      </c>
      <c r="AL15" s="15" t="s">
        <v>16</v>
      </c>
      <c r="AM15" s="35" t="s">
        <v>13</v>
      </c>
      <c r="AN15" s="170"/>
      <c r="AO15" s="15" t="s">
        <v>113</v>
      </c>
      <c r="AP15" s="15" t="s">
        <v>17</v>
      </c>
      <c r="AQ15" s="15" t="s">
        <v>16</v>
      </c>
      <c r="AR15" s="35" t="s">
        <v>13</v>
      </c>
      <c r="AS15" s="170"/>
      <c r="AT15" s="15" t="s">
        <v>113</v>
      </c>
      <c r="AU15" s="15" t="s">
        <v>17</v>
      </c>
      <c r="AV15" s="15" t="s">
        <v>16</v>
      </c>
      <c r="AW15" s="35" t="s">
        <v>13</v>
      </c>
      <c r="AX15" s="170"/>
      <c r="AY15" s="15" t="s">
        <v>113</v>
      </c>
      <c r="AZ15" s="15" t="s">
        <v>17</v>
      </c>
      <c r="BA15" s="15" t="s">
        <v>16</v>
      </c>
      <c r="BB15" s="35" t="s">
        <v>13</v>
      </c>
      <c r="BC15" s="170"/>
      <c r="BD15" s="15" t="s">
        <v>113</v>
      </c>
      <c r="BE15" s="15" t="s">
        <v>17</v>
      </c>
      <c r="BF15" s="15" t="s">
        <v>16</v>
      </c>
      <c r="BG15" s="35" t="s">
        <v>13</v>
      </c>
      <c r="BH15" s="170"/>
      <c r="BI15" s="15" t="s">
        <v>113</v>
      </c>
      <c r="BJ15" s="15" t="s">
        <v>17</v>
      </c>
      <c r="BK15" s="15" t="s">
        <v>16</v>
      </c>
      <c r="BL15" s="35" t="s">
        <v>13</v>
      </c>
      <c r="BM15" s="170"/>
      <c r="BN15" s="15" t="s">
        <v>113</v>
      </c>
      <c r="BO15" s="15" t="s">
        <v>17</v>
      </c>
      <c r="BP15" s="15" t="s">
        <v>16</v>
      </c>
      <c r="BQ15" s="35" t="s">
        <v>13</v>
      </c>
      <c r="BR15" s="170"/>
      <c r="BS15" s="15" t="s">
        <v>113</v>
      </c>
      <c r="BT15" s="15" t="s">
        <v>17</v>
      </c>
      <c r="BU15" s="15" t="s">
        <v>16</v>
      </c>
      <c r="BV15" s="35" t="s">
        <v>13</v>
      </c>
      <c r="BW15" s="170"/>
      <c r="BX15" s="15" t="s">
        <v>113</v>
      </c>
      <c r="BY15" s="15" t="s">
        <v>17</v>
      </c>
      <c r="BZ15" s="15" t="s">
        <v>16</v>
      </c>
      <c r="CA15" s="35" t="s">
        <v>13</v>
      </c>
      <c r="CB15" s="170"/>
      <c r="CC15" s="15" t="s">
        <v>113</v>
      </c>
      <c r="CD15" s="15" t="s">
        <v>17</v>
      </c>
      <c r="CE15" s="15" t="s">
        <v>16</v>
      </c>
      <c r="CF15" s="35" t="s">
        <v>13</v>
      </c>
      <c r="CG15" s="34"/>
      <c r="CH15" s="15"/>
      <c r="CI15" s="15"/>
      <c r="CJ15" s="15"/>
      <c r="CK15" s="35"/>
    </row>
    <row r="16" spans="1:137" ht="19.5" customHeight="1" thickBot="1" x14ac:dyDescent="0.25">
      <c r="A16" s="66">
        <v>7</v>
      </c>
      <c r="B16" s="67">
        <f>AS4</f>
        <v>0</v>
      </c>
      <c r="C16" s="66">
        <v>7</v>
      </c>
      <c r="D16" s="65">
        <f t="shared" si="1"/>
        <v>33</v>
      </c>
      <c r="E16" s="65">
        <f t="shared" si="0"/>
        <v>34</v>
      </c>
      <c r="F16" s="65">
        <f t="shared" si="2"/>
        <v>32</v>
      </c>
      <c r="G16" s="65">
        <f t="shared" si="3"/>
        <v>33</v>
      </c>
      <c r="H16" s="65">
        <f t="shared" si="4"/>
        <v>34</v>
      </c>
      <c r="I16" s="68">
        <f>AS7</f>
        <v>170000</v>
      </c>
      <c r="J16" s="68">
        <f>AT10</f>
        <v>0</v>
      </c>
      <c r="K16" s="69">
        <f>AU10</f>
        <v>0</v>
      </c>
      <c r="L16" s="68"/>
      <c r="M16" s="68">
        <f>AV10</f>
        <v>0</v>
      </c>
      <c r="N16" s="166">
        <f t="shared" si="5"/>
        <v>35</v>
      </c>
      <c r="O16" s="36">
        <v>1</v>
      </c>
      <c r="P16" s="341" t="s">
        <v>223</v>
      </c>
      <c r="Q16" s="344">
        <f>VLOOKUP(P16,Apoio!C:E,2,0)</f>
        <v>203091</v>
      </c>
      <c r="R16" s="343">
        <v>220000</v>
      </c>
      <c r="S16" s="206">
        <v>5</v>
      </c>
      <c r="T16" s="36">
        <v>1</v>
      </c>
      <c r="U16" s="215" t="s">
        <v>212</v>
      </c>
      <c r="V16" s="321">
        <v>231156</v>
      </c>
      <c r="W16" s="212"/>
      <c r="X16" s="206">
        <f>S16</f>
        <v>5</v>
      </c>
      <c r="Y16" s="36">
        <v>1</v>
      </c>
      <c r="Z16" s="215"/>
      <c r="AA16" s="321"/>
      <c r="AB16" s="322"/>
      <c r="AC16" s="323"/>
      <c r="AD16" s="36">
        <v>1</v>
      </c>
      <c r="AE16" s="215"/>
      <c r="AF16" s="204"/>
      <c r="AG16" s="212"/>
      <c r="AH16" s="207"/>
      <c r="AI16" s="36">
        <v>1</v>
      </c>
      <c r="AJ16" s="216"/>
      <c r="AK16" s="204"/>
      <c r="AL16" s="212"/>
      <c r="AM16" s="207"/>
      <c r="AN16" s="36">
        <v>1</v>
      </c>
      <c r="AO16" s="176"/>
      <c r="AP16" s="160"/>
      <c r="AQ16" s="160"/>
      <c r="AR16" s="179"/>
      <c r="AS16" s="36">
        <v>1</v>
      </c>
      <c r="AT16" s="176"/>
      <c r="AU16" s="160"/>
      <c r="AV16" s="160"/>
      <c r="AW16" s="179"/>
      <c r="AX16" s="36">
        <v>1</v>
      </c>
      <c r="AY16" s="176"/>
      <c r="AZ16" s="160"/>
      <c r="BA16" s="160"/>
      <c r="BB16" s="179"/>
      <c r="BC16" s="36">
        <v>1</v>
      </c>
      <c r="BD16" s="176"/>
      <c r="BE16" s="160"/>
      <c r="BF16" s="160"/>
      <c r="BG16" s="179"/>
      <c r="BH16" s="36">
        <v>1</v>
      </c>
      <c r="BI16" s="176"/>
      <c r="BJ16" s="160"/>
      <c r="BK16" s="160"/>
      <c r="BL16" s="179"/>
      <c r="BM16" s="36">
        <v>1</v>
      </c>
      <c r="BN16" s="176"/>
      <c r="BO16" s="160"/>
      <c r="BP16" s="160"/>
      <c r="BQ16" s="179"/>
      <c r="BR16" s="36">
        <v>1</v>
      </c>
      <c r="BS16" s="176"/>
      <c r="BT16" s="160"/>
      <c r="BU16" s="160"/>
      <c r="BV16" s="179"/>
      <c r="BW16" s="36">
        <v>1</v>
      </c>
      <c r="BX16" s="176"/>
      <c r="BY16" s="160"/>
      <c r="BZ16" s="160"/>
      <c r="CA16" s="179"/>
      <c r="CB16" s="36">
        <v>1</v>
      </c>
      <c r="CC16" s="176"/>
      <c r="CD16" s="160"/>
      <c r="CE16" s="160"/>
      <c r="CF16" s="179"/>
      <c r="CG16" s="36"/>
      <c r="CH16" s="11"/>
      <c r="CI16" s="23"/>
      <c r="CJ16" s="23"/>
      <c r="CK16" s="37"/>
    </row>
    <row r="17" spans="1:89" s="1" customFormat="1" ht="19.5" customHeight="1" thickBot="1" x14ac:dyDescent="0.25">
      <c r="A17" s="66">
        <v>8</v>
      </c>
      <c r="B17" s="70">
        <f>AX4</f>
        <v>0</v>
      </c>
      <c r="C17" s="66">
        <v>8</v>
      </c>
      <c r="D17" s="65">
        <f t="shared" si="1"/>
        <v>38</v>
      </c>
      <c r="E17" s="65">
        <f t="shared" si="0"/>
        <v>39</v>
      </c>
      <c r="F17" s="65">
        <f t="shared" si="2"/>
        <v>37</v>
      </c>
      <c r="G17" s="65">
        <f t="shared" si="3"/>
        <v>38</v>
      </c>
      <c r="H17" s="65">
        <f t="shared" si="4"/>
        <v>39</v>
      </c>
      <c r="I17" s="71">
        <f>AX7</f>
        <v>130000</v>
      </c>
      <c r="J17" s="68">
        <f>AY10</f>
        <v>0</v>
      </c>
      <c r="K17" s="69">
        <f>AZ10</f>
        <v>0</v>
      </c>
      <c r="L17" s="68"/>
      <c r="M17" s="68">
        <f>BA10</f>
        <v>0</v>
      </c>
      <c r="N17" s="166">
        <f t="shared" si="5"/>
        <v>40</v>
      </c>
      <c r="O17" s="38">
        <v>2</v>
      </c>
      <c r="P17" s="341" t="s">
        <v>224</v>
      </c>
      <c r="Q17" s="344">
        <f>VLOOKUP(P17,Apoio!C:E,2,0)</f>
        <v>203103.2</v>
      </c>
      <c r="R17" s="343">
        <v>220000</v>
      </c>
      <c r="S17" s="206">
        <v>5</v>
      </c>
      <c r="T17" s="38">
        <v>2</v>
      </c>
      <c r="U17" s="215" t="s">
        <v>213</v>
      </c>
      <c r="V17" s="321">
        <v>223098</v>
      </c>
      <c r="W17" s="212"/>
      <c r="X17" s="206">
        <f t="shared" ref="X17:X26" si="6">S17</f>
        <v>5</v>
      </c>
      <c r="Y17" s="38">
        <v>2</v>
      </c>
      <c r="Z17" s="215"/>
      <c r="AA17" s="321"/>
      <c r="AB17" s="322"/>
      <c r="AC17" s="323"/>
      <c r="AD17" s="38">
        <v>2</v>
      </c>
      <c r="AE17" s="215"/>
      <c r="AF17" s="205"/>
      <c r="AG17" s="212"/>
      <c r="AH17" s="207"/>
      <c r="AI17" s="38">
        <v>2</v>
      </c>
      <c r="AJ17" s="216"/>
      <c r="AK17" s="204"/>
      <c r="AL17" s="212"/>
      <c r="AM17" s="207"/>
      <c r="AN17" s="38">
        <v>2</v>
      </c>
      <c r="AO17" s="177"/>
      <c r="AP17" s="161"/>
      <c r="AQ17" s="161"/>
      <c r="AR17" s="180"/>
      <c r="AS17" s="38">
        <v>2</v>
      </c>
      <c r="AT17" s="177"/>
      <c r="AU17" s="161"/>
      <c r="AV17" s="161"/>
      <c r="AW17" s="180"/>
      <c r="AX17" s="38">
        <v>2</v>
      </c>
      <c r="AY17" s="177"/>
      <c r="AZ17" s="161"/>
      <c r="BA17" s="161"/>
      <c r="BB17" s="180"/>
      <c r="BC17" s="38">
        <v>2</v>
      </c>
      <c r="BD17" s="177"/>
      <c r="BE17" s="161"/>
      <c r="BF17" s="161"/>
      <c r="BG17" s="180"/>
      <c r="BH17" s="38">
        <v>2</v>
      </c>
      <c r="BI17" s="177"/>
      <c r="BJ17" s="161"/>
      <c r="BK17" s="161"/>
      <c r="BL17" s="180"/>
      <c r="BM17" s="38">
        <v>2</v>
      </c>
      <c r="BN17" s="177"/>
      <c r="BO17" s="161"/>
      <c r="BP17" s="161"/>
      <c r="BQ17" s="180"/>
      <c r="BR17" s="38">
        <v>2</v>
      </c>
      <c r="BS17" s="177"/>
      <c r="BT17" s="161"/>
      <c r="BU17" s="161"/>
      <c r="BV17" s="180"/>
      <c r="BW17" s="38">
        <v>2</v>
      </c>
      <c r="BX17" s="177"/>
      <c r="BY17" s="161"/>
      <c r="BZ17" s="161"/>
      <c r="CA17" s="180"/>
      <c r="CB17" s="38">
        <v>2</v>
      </c>
      <c r="CC17" s="177"/>
      <c r="CD17" s="161"/>
      <c r="CE17" s="161"/>
      <c r="CF17" s="180"/>
      <c r="CG17" s="38"/>
      <c r="CH17" s="6"/>
      <c r="CI17" s="24"/>
      <c r="CJ17" s="24"/>
      <c r="CK17" s="39"/>
    </row>
    <row r="18" spans="1:89" s="2" customFormat="1" ht="19.5" customHeight="1" thickBot="1" x14ac:dyDescent="0.25">
      <c r="A18" s="66">
        <v>9</v>
      </c>
      <c r="B18" s="70">
        <f>BC4</f>
        <v>0</v>
      </c>
      <c r="C18" s="66">
        <v>9</v>
      </c>
      <c r="D18" s="65">
        <f t="shared" si="1"/>
        <v>43</v>
      </c>
      <c r="E18" s="65">
        <f t="shared" si="0"/>
        <v>44</v>
      </c>
      <c r="F18" s="65">
        <f t="shared" si="2"/>
        <v>42</v>
      </c>
      <c r="G18" s="65">
        <f t="shared" si="3"/>
        <v>43</v>
      </c>
      <c r="H18" s="65">
        <f t="shared" si="4"/>
        <v>44</v>
      </c>
      <c r="I18" s="71">
        <f>BC7</f>
        <v>130000</v>
      </c>
      <c r="J18" s="68">
        <f>BD10</f>
        <v>0</v>
      </c>
      <c r="K18" s="69">
        <f>BE10</f>
        <v>0</v>
      </c>
      <c r="L18" s="68"/>
      <c r="M18" s="68">
        <f>BF10</f>
        <v>0</v>
      </c>
      <c r="N18" s="166">
        <f t="shared" si="5"/>
        <v>45</v>
      </c>
      <c r="O18" s="36">
        <v>3</v>
      </c>
      <c r="P18" s="341" t="s">
        <v>225</v>
      </c>
      <c r="Q18" s="344">
        <f>VLOOKUP(P18,Apoio!C:E,2,0)</f>
        <v>203103.2</v>
      </c>
      <c r="R18" s="343">
        <v>220000</v>
      </c>
      <c r="S18" s="206">
        <v>5</v>
      </c>
      <c r="T18" s="38">
        <v>3</v>
      </c>
      <c r="U18" s="215" t="s">
        <v>218</v>
      </c>
      <c r="V18" s="321">
        <v>231156</v>
      </c>
      <c r="W18" s="212"/>
      <c r="X18" s="206">
        <f t="shared" si="6"/>
        <v>5</v>
      </c>
      <c r="Y18" s="38">
        <v>3</v>
      </c>
      <c r="Z18" s="215"/>
      <c r="AA18" s="321"/>
      <c r="AB18" s="322"/>
      <c r="AC18" s="323"/>
      <c r="AD18" s="38">
        <v>3</v>
      </c>
      <c r="AE18" s="215"/>
      <c r="AF18" s="205"/>
      <c r="AG18" s="212"/>
      <c r="AH18" s="207"/>
      <c r="AI18" s="38">
        <v>3</v>
      </c>
      <c r="AJ18" s="216"/>
      <c r="AK18" s="204"/>
      <c r="AL18" s="212"/>
      <c r="AM18" s="207"/>
      <c r="AN18" s="38">
        <v>3</v>
      </c>
      <c r="AO18" s="177"/>
      <c r="AP18" s="162"/>
      <c r="AQ18" s="162"/>
      <c r="AR18" s="180"/>
      <c r="AS18" s="38">
        <v>3</v>
      </c>
      <c r="AT18" s="177"/>
      <c r="AU18" s="162"/>
      <c r="AV18" s="162"/>
      <c r="AW18" s="180"/>
      <c r="AX18" s="38">
        <v>3</v>
      </c>
      <c r="AY18" s="177"/>
      <c r="AZ18" s="162"/>
      <c r="BA18" s="162"/>
      <c r="BB18" s="180"/>
      <c r="BC18" s="38">
        <v>3</v>
      </c>
      <c r="BD18" s="177"/>
      <c r="BE18" s="162"/>
      <c r="BF18" s="162"/>
      <c r="BG18" s="180"/>
      <c r="BH18" s="38">
        <v>3</v>
      </c>
      <c r="BI18" s="177"/>
      <c r="BJ18" s="162"/>
      <c r="BK18" s="162"/>
      <c r="BL18" s="180"/>
      <c r="BM18" s="38">
        <v>3</v>
      </c>
      <c r="BN18" s="177"/>
      <c r="BO18" s="162"/>
      <c r="BP18" s="162"/>
      <c r="BQ18" s="180"/>
      <c r="BR18" s="38">
        <v>3</v>
      </c>
      <c r="BS18" s="177"/>
      <c r="BT18" s="162"/>
      <c r="BU18" s="162"/>
      <c r="BV18" s="180"/>
      <c r="BW18" s="38">
        <v>3</v>
      </c>
      <c r="BX18" s="177"/>
      <c r="BY18" s="162"/>
      <c r="BZ18" s="162"/>
      <c r="CA18" s="180"/>
      <c r="CB18" s="38">
        <v>3</v>
      </c>
      <c r="CC18" s="177"/>
      <c r="CD18" s="162"/>
      <c r="CE18" s="162"/>
      <c r="CF18" s="180"/>
      <c r="CG18" s="38"/>
      <c r="CH18" s="13"/>
      <c r="CI18" s="25"/>
      <c r="CJ18" s="25"/>
      <c r="CK18" s="40"/>
    </row>
    <row r="19" spans="1:89" ht="13.5" thickBot="1" x14ac:dyDescent="0.25">
      <c r="A19" s="66">
        <v>10</v>
      </c>
      <c r="B19" s="67">
        <f>BH4</f>
        <v>0</v>
      </c>
      <c r="C19" s="66">
        <v>10</v>
      </c>
      <c r="D19" s="65">
        <f t="shared" si="1"/>
        <v>48</v>
      </c>
      <c r="E19" s="65">
        <f t="shared" si="0"/>
        <v>49</v>
      </c>
      <c r="F19" s="65">
        <f t="shared" si="2"/>
        <v>47</v>
      </c>
      <c r="G19" s="65">
        <f t="shared" si="3"/>
        <v>48</v>
      </c>
      <c r="H19" s="65">
        <f t="shared" si="4"/>
        <v>49</v>
      </c>
      <c r="I19" s="68">
        <f>BH7</f>
        <v>130000</v>
      </c>
      <c r="J19" s="68">
        <f>BI10</f>
        <v>0</v>
      </c>
      <c r="K19" s="69">
        <f>BJ10</f>
        <v>0</v>
      </c>
      <c r="L19" s="68"/>
      <c r="M19" s="68">
        <f>BK10</f>
        <v>0</v>
      </c>
      <c r="N19" s="166">
        <f t="shared" si="5"/>
        <v>50</v>
      </c>
      <c r="O19" s="38">
        <v>4</v>
      </c>
      <c r="P19" s="341" t="s">
        <v>226</v>
      </c>
      <c r="Q19" s="344">
        <f>VLOOKUP(P19,Apoio!C:E,2,0)</f>
        <v>200770.3</v>
      </c>
      <c r="R19" s="343">
        <v>220000</v>
      </c>
      <c r="S19" s="206">
        <v>5</v>
      </c>
      <c r="T19" s="36">
        <v>4</v>
      </c>
      <c r="U19" s="215" t="s">
        <v>219</v>
      </c>
      <c r="V19" s="321">
        <v>223098</v>
      </c>
      <c r="W19" s="212"/>
      <c r="X19" s="206">
        <f t="shared" si="6"/>
        <v>5</v>
      </c>
      <c r="Y19" s="36">
        <v>4</v>
      </c>
      <c r="Z19" s="215"/>
      <c r="AA19" s="321"/>
      <c r="AB19" s="322"/>
      <c r="AC19" s="323"/>
      <c r="AD19" s="36">
        <v>4</v>
      </c>
      <c r="AE19" s="215"/>
      <c r="AF19" s="324"/>
      <c r="AG19" s="212"/>
      <c r="AH19" s="207"/>
      <c r="AI19" s="36">
        <v>4</v>
      </c>
      <c r="AJ19" s="216"/>
      <c r="AK19" s="204"/>
      <c r="AL19" s="212"/>
      <c r="AM19" s="207"/>
      <c r="AN19" s="36">
        <v>4</v>
      </c>
      <c r="AO19" s="176"/>
      <c r="AP19" s="160"/>
      <c r="AQ19" s="160"/>
      <c r="AR19" s="179"/>
      <c r="AS19" s="36">
        <v>4</v>
      </c>
      <c r="AT19" s="176"/>
      <c r="AU19" s="160"/>
      <c r="AV19" s="160"/>
      <c r="AW19" s="179"/>
      <c r="AX19" s="36">
        <v>4</v>
      </c>
      <c r="AY19" s="176"/>
      <c r="AZ19" s="160"/>
      <c r="BA19" s="160"/>
      <c r="BB19" s="179"/>
      <c r="BC19" s="36">
        <v>4</v>
      </c>
      <c r="BD19" s="176"/>
      <c r="BE19" s="160"/>
      <c r="BF19" s="160"/>
      <c r="BG19" s="179"/>
      <c r="BH19" s="36">
        <v>4</v>
      </c>
      <c r="BI19" s="176"/>
      <c r="BJ19" s="160"/>
      <c r="BK19" s="160"/>
      <c r="BL19" s="179"/>
      <c r="BM19" s="36">
        <v>4</v>
      </c>
      <c r="BN19" s="176"/>
      <c r="BO19" s="160"/>
      <c r="BP19" s="160"/>
      <c r="BQ19" s="179"/>
      <c r="BR19" s="36">
        <v>4</v>
      </c>
      <c r="BS19" s="176"/>
      <c r="BT19" s="160"/>
      <c r="BU19" s="160"/>
      <c r="BV19" s="179"/>
      <c r="BW19" s="36">
        <v>4</v>
      </c>
      <c r="BX19" s="176"/>
      <c r="BY19" s="160"/>
      <c r="BZ19" s="160"/>
      <c r="CA19" s="179"/>
      <c r="CB19" s="36">
        <v>4</v>
      </c>
      <c r="CC19" s="176"/>
      <c r="CD19" s="160"/>
      <c r="CE19" s="160"/>
      <c r="CF19" s="179"/>
      <c r="CG19" s="36"/>
      <c r="CH19" s="11"/>
      <c r="CI19" s="23"/>
      <c r="CJ19" s="23"/>
      <c r="CK19" s="37"/>
    </row>
    <row r="20" spans="1:89" ht="13.5" thickBot="1" x14ac:dyDescent="0.25">
      <c r="A20" s="66">
        <v>11</v>
      </c>
      <c r="B20" s="67">
        <f>BM4</f>
        <v>0</v>
      </c>
      <c r="C20" s="66">
        <v>11</v>
      </c>
      <c r="D20" s="65">
        <f t="shared" si="1"/>
        <v>53</v>
      </c>
      <c r="E20" s="65">
        <f t="shared" si="0"/>
        <v>54</v>
      </c>
      <c r="F20" s="65">
        <f t="shared" si="2"/>
        <v>52</v>
      </c>
      <c r="G20" s="65">
        <f t="shared" si="3"/>
        <v>53</v>
      </c>
      <c r="H20" s="65">
        <f t="shared" si="4"/>
        <v>54</v>
      </c>
      <c r="I20" s="68">
        <f>BM7</f>
        <v>130000</v>
      </c>
      <c r="J20" s="68">
        <f>BN10</f>
        <v>0</v>
      </c>
      <c r="K20" s="69">
        <f>BO10</f>
        <v>0</v>
      </c>
      <c r="L20" s="68"/>
      <c r="M20" s="68">
        <f>BP10</f>
        <v>0</v>
      </c>
      <c r="N20" s="166">
        <f t="shared" si="5"/>
        <v>55</v>
      </c>
      <c r="O20" s="36">
        <v>5</v>
      </c>
      <c r="P20" s="341" t="s">
        <v>227</v>
      </c>
      <c r="Q20" s="344">
        <f>VLOOKUP(P20,Apoio!C:E,2,0)</f>
        <v>201255.1</v>
      </c>
      <c r="R20" s="343">
        <v>220000</v>
      </c>
      <c r="S20" s="206">
        <v>5</v>
      </c>
      <c r="T20" s="36">
        <v>5</v>
      </c>
      <c r="U20" s="215" t="s">
        <v>220</v>
      </c>
      <c r="V20" s="321">
        <v>231156</v>
      </c>
      <c r="W20" s="212"/>
      <c r="X20" s="206">
        <f t="shared" si="6"/>
        <v>5</v>
      </c>
      <c r="Y20" s="36">
        <v>5</v>
      </c>
      <c r="Z20" s="215"/>
      <c r="AA20" s="321"/>
      <c r="AB20" s="322"/>
      <c r="AC20" s="323"/>
      <c r="AD20" s="36">
        <v>5</v>
      </c>
      <c r="AE20" s="215"/>
      <c r="AF20" s="324"/>
      <c r="AG20" s="212"/>
      <c r="AH20" s="207"/>
      <c r="AI20" s="36">
        <v>5</v>
      </c>
      <c r="AJ20" s="176"/>
      <c r="AK20" s="160"/>
      <c r="AL20" s="160"/>
      <c r="AM20" s="179"/>
      <c r="AN20" s="36">
        <v>5</v>
      </c>
      <c r="AO20" s="176"/>
      <c r="AP20" s="160"/>
      <c r="AQ20" s="160"/>
      <c r="AR20" s="179"/>
      <c r="AS20" s="36">
        <v>5</v>
      </c>
      <c r="AT20" s="176"/>
      <c r="AU20" s="160"/>
      <c r="AV20" s="160"/>
      <c r="AW20" s="179"/>
      <c r="AX20" s="36">
        <v>5</v>
      </c>
      <c r="AY20" s="176"/>
      <c r="AZ20" s="160"/>
      <c r="BA20" s="160"/>
      <c r="BB20" s="179"/>
      <c r="BC20" s="36">
        <v>5</v>
      </c>
      <c r="BD20" s="176"/>
      <c r="BE20" s="160"/>
      <c r="BF20" s="160"/>
      <c r="BG20" s="179"/>
      <c r="BH20" s="36">
        <v>5</v>
      </c>
      <c r="BI20" s="176"/>
      <c r="BJ20" s="160"/>
      <c r="BK20" s="160"/>
      <c r="BL20" s="179"/>
      <c r="BM20" s="36">
        <v>5</v>
      </c>
      <c r="BN20" s="176"/>
      <c r="BO20" s="160"/>
      <c r="BP20" s="160"/>
      <c r="BQ20" s="179"/>
      <c r="BR20" s="36">
        <v>5</v>
      </c>
      <c r="BS20" s="176"/>
      <c r="BT20" s="160"/>
      <c r="BU20" s="160"/>
      <c r="BV20" s="179"/>
      <c r="BW20" s="36">
        <v>5</v>
      </c>
      <c r="BX20" s="176"/>
      <c r="BY20" s="160"/>
      <c r="BZ20" s="160"/>
      <c r="CA20" s="179"/>
      <c r="CB20" s="36">
        <v>5</v>
      </c>
      <c r="CC20" s="176"/>
      <c r="CD20" s="160"/>
      <c r="CE20" s="160"/>
      <c r="CF20" s="179"/>
      <c r="CG20" s="36"/>
      <c r="CH20" s="11"/>
      <c r="CI20" s="23"/>
      <c r="CJ20" s="23"/>
      <c r="CK20" s="37"/>
    </row>
    <row r="21" spans="1:89" ht="13.5" thickBot="1" x14ac:dyDescent="0.25">
      <c r="A21" s="66">
        <v>12</v>
      </c>
      <c r="B21" s="67">
        <f>BR4</f>
        <v>0</v>
      </c>
      <c r="C21" s="66">
        <v>12</v>
      </c>
      <c r="D21" s="65">
        <f t="shared" si="1"/>
        <v>58</v>
      </c>
      <c r="E21" s="65">
        <f t="shared" si="0"/>
        <v>59</v>
      </c>
      <c r="F21" s="65">
        <f t="shared" si="2"/>
        <v>57</v>
      </c>
      <c r="G21" s="65">
        <f t="shared" si="3"/>
        <v>58</v>
      </c>
      <c r="H21" s="65">
        <f t="shared" si="4"/>
        <v>59</v>
      </c>
      <c r="I21" s="68">
        <f>BR7</f>
        <v>130000</v>
      </c>
      <c r="J21" s="68">
        <f>BS10</f>
        <v>0</v>
      </c>
      <c r="K21" s="69">
        <f>BT10</f>
        <v>0</v>
      </c>
      <c r="L21" s="68"/>
      <c r="M21" s="68">
        <f>BU10</f>
        <v>0</v>
      </c>
      <c r="N21" s="166">
        <f t="shared" si="5"/>
        <v>60</v>
      </c>
      <c r="O21" s="38">
        <v>6</v>
      </c>
      <c r="P21" s="341" t="s">
        <v>228</v>
      </c>
      <c r="Q21" s="344">
        <f>VLOOKUP(P21,Apoio!C:E,2,0)</f>
        <v>201255.1</v>
      </c>
      <c r="R21" s="343">
        <v>220000</v>
      </c>
      <c r="S21" s="206">
        <v>5</v>
      </c>
      <c r="T21" s="36">
        <v>6</v>
      </c>
      <c r="U21" s="215" t="s">
        <v>221</v>
      </c>
      <c r="V21" s="321">
        <v>223098</v>
      </c>
      <c r="W21" s="212"/>
      <c r="X21" s="206">
        <f t="shared" si="6"/>
        <v>5</v>
      </c>
      <c r="Y21" s="36">
        <v>6</v>
      </c>
      <c r="Z21" s="215"/>
      <c r="AA21" s="321"/>
      <c r="AB21" s="322"/>
      <c r="AC21" s="323"/>
      <c r="AD21" s="36">
        <v>6</v>
      </c>
      <c r="AE21" s="215"/>
      <c r="AF21" s="324"/>
      <c r="AG21" s="212"/>
      <c r="AH21" s="207"/>
      <c r="AI21" s="36">
        <v>6</v>
      </c>
      <c r="AJ21" s="176"/>
      <c r="AK21" s="160"/>
      <c r="AL21" s="160"/>
      <c r="AM21" s="179"/>
      <c r="AN21" s="36">
        <v>6</v>
      </c>
      <c r="AO21" s="176"/>
      <c r="AP21" s="160"/>
      <c r="AQ21" s="160"/>
      <c r="AR21" s="179"/>
      <c r="AS21" s="36">
        <v>6</v>
      </c>
      <c r="AT21" s="176"/>
      <c r="AU21" s="160"/>
      <c r="AV21" s="160"/>
      <c r="AW21" s="179"/>
      <c r="AX21" s="36">
        <v>6</v>
      </c>
      <c r="AY21" s="176"/>
      <c r="AZ21" s="160"/>
      <c r="BA21" s="160"/>
      <c r="BB21" s="179"/>
      <c r="BC21" s="36">
        <v>6</v>
      </c>
      <c r="BD21" s="176"/>
      <c r="BE21" s="160"/>
      <c r="BF21" s="160"/>
      <c r="BG21" s="179"/>
      <c r="BH21" s="36">
        <v>6</v>
      </c>
      <c r="BI21" s="176"/>
      <c r="BJ21" s="160"/>
      <c r="BK21" s="160"/>
      <c r="BL21" s="179"/>
      <c r="BM21" s="36">
        <v>6</v>
      </c>
      <c r="BN21" s="176"/>
      <c r="BO21" s="160"/>
      <c r="BP21" s="160"/>
      <c r="BQ21" s="179"/>
      <c r="BR21" s="36">
        <v>6</v>
      </c>
      <c r="BS21" s="176"/>
      <c r="BT21" s="160"/>
      <c r="BU21" s="160"/>
      <c r="BV21" s="179"/>
      <c r="BW21" s="36">
        <v>6</v>
      </c>
      <c r="BX21" s="176"/>
      <c r="BY21" s="160"/>
      <c r="BZ21" s="160"/>
      <c r="CA21" s="179"/>
      <c r="CB21" s="36">
        <v>6</v>
      </c>
      <c r="CC21" s="176"/>
      <c r="CD21" s="160"/>
      <c r="CE21" s="160"/>
      <c r="CF21" s="179"/>
      <c r="CG21" s="36"/>
      <c r="CH21" s="11"/>
      <c r="CI21" s="23"/>
      <c r="CJ21" s="23"/>
      <c r="CK21" s="37"/>
    </row>
    <row r="22" spans="1:89" ht="13.5" thickBot="1" x14ac:dyDescent="0.25">
      <c r="A22" s="66">
        <v>13</v>
      </c>
      <c r="B22" s="67">
        <f>BW4</f>
        <v>0</v>
      </c>
      <c r="C22" s="66">
        <v>13</v>
      </c>
      <c r="D22" s="65">
        <f t="shared" si="1"/>
        <v>63</v>
      </c>
      <c r="E22" s="65">
        <f t="shared" si="0"/>
        <v>64</v>
      </c>
      <c r="F22" s="65">
        <f t="shared" si="2"/>
        <v>62</v>
      </c>
      <c r="G22" s="65">
        <f t="shared" si="3"/>
        <v>63</v>
      </c>
      <c r="H22" s="65">
        <f t="shared" si="4"/>
        <v>64</v>
      </c>
      <c r="I22" s="68">
        <f>BW7</f>
        <v>130000</v>
      </c>
      <c r="J22" s="68">
        <f>BX10</f>
        <v>0</v>
      </c>
      <c r="K22" s="69">
        <f>BY10</f>
        <v>0</v>
      </c>
      <c r="L22" s="68"/>
      <c r="M22" s="68">
        <f>BZ10</f>
        <v>0</v>
      </c>
      <c r="N22" s="166">
        <f t="shared" si="5"/>
        <v>65</v>
      </c>
      <c r="O22" s="36">
        <v>7</v>
      </c>
      <c r="P22" s="341" t="s">
        <v>353</v>
      </c>
      <c r="Q22" s="344">
        <f>VLOOKUP(P22,Apoio!C:E,2,0)</f>
        <v>200770.3</v>
      </c>
      <c r="R22" s="343">
        <v>220000</v>
      </c>
      <c r="S22" s="206">
        <v>5</v>
      </c>
      <c r="T22" s="36">
        <v>7</v>
      </c>
      <c r="U22" s="215" t="s">
        <v>214</v>
      </c>
      <c r="V22" s="321">
        <v>215041</v>
      </c>
      <c r="W22" s="212"/>
      <c r="X22" s="206">
        <f t="shared" si="6"/>
        <v>5</v>
      </c>
      <c r="Y22" s="36">
        <v>7</v>
      </c>
      <c r="Z22" s="215"/>
      <c r="AA22" s="321"/>
      <c r="AB22" s="322"/>
      <c r="AC22" s="323"/>
      <c r="AD22" s="36">
        <v>7</v>
      </c>
      <c r="AE22" s="215"/>
      <c r="AF22" s="324"/>
      <c r="AG22" s="212"/>
      <c r="AH22" s="207"/>
      <c r="AI22" s="36">
        <v>7</v>
      </c>
      <c r="AJ22" s="176"/>
      <c r="AK22" s="160"/>
      <c r="AL22" s="160"/>
      <c r="AM22" s="179"/>
      <c r="AN22" s="36">
        <v>7</v>
      </c>
      <c r="AO22" s="176"/>
      <c r="AP22" s="160"/>
      <c r="AQ22" s="160"/>
      <c r="AR22" s="179"/>
      <c r="AS22" s="36">
        <v>7</v>
      </c>
      <c r="AT22" s="176"/>
      <c r="AU22" s="160"/>
      <c r="AV22" s="160"/>
      <c r="AW22" s="179"/>
      <c r="AX22" s="36">
        <v>7</v>
      </c>
      <c r="AY22" s="176"/>
      <c r="AZ22" s="160"/>
      <c r="BA22" s="160"/>
      <c r="BB22" s="179"/>
      <c r="BC22" s="36">
        <v>7</v>
      </c>
      <c r="BD22" s="176"/>
      <c r="BE22" s="160"/>
      <c r="BF22" s="160"/>
      <c r="BG22" s="179"/>
      <c r="BH22" s="36">
        <v>7</v>
      </c>
      <c r="BI22" s="176"/>
      <c r="BJ22" s="160"/>
      <c r="BK22" s="160"/>
      <c r="BL22" s="179"/>
      <c r="BM22" s="36">
        <v>7</v>
      </c>
      <c r="BN22" s="176"/>
      <c r="BO22" s="160"/>
      <c r="BP22" s="160"/>
      <c r="BQ22" s="179"/>
      <c r="BR22" s="36">
        <v>7</v>
      </c>
      <c r="BS22" s="176"/>
      <c r="BT22" s="160"/>
      <c r="BU22" s="160"/>
      <c r="BV22" s="179"/>
      <c r="BW22" s="36">
        <v>7</v>
      </c>
      <c r="BX22" s="176"/>
      <c r="BY22" s="160"/>
      <c r="BZ22" s="160"/>
      <c r="CA22" s="179"/>
      <c r="CB22" s="36">
        <v>7</v>
      </c>
      <c r="CC22" s="176"/>
      <c r="CD22" s="160"/>
      <c r="CE22" s="160"/>
      <c r="CF22" s="179"/>
      <c r="CG22" s="36"/>
      <c r="CH22" s="11"/>
      <c r="CI22" s="23"/>
      <c r="CJ22" s="23"/>
      <c r="CK22" s="37"/>
    </row>
    <row r="23" spans="1:89" ht="13.5" thickBot="1" x14ac:dyDescent="0.25">
      <c r="A23" s="66">
        <v>14</v>
      </c>
      <c r="B23" s="67">
        <f>CB4</f>
        <v>0</v>
      </c>
      <c r="C23" s="66">
        <v>14</v>
      </c>
      <c r="D23" s="65">
        <f t="shared" si="1"/>
        <v>68</v>
      </c>
      <c r="E23" s="65">
        <f t="shared" si="0"/>
        <v>69</v>
      </c>
      <c r="F23" s="65">
        <f t="shared" si="2"/>
        <v>67</v>
      </c>
      <c r="G23" s="65">
        <f t="shared" si="3"/>
        <v>68</v>
      </c>
      <c r="H23" s="65">
        <f t="shared" si="4"/>
        <v>69</v>
      </c>
      <c r="I23" s="68">
        <f>CB7</f>
        <v>130000</v>
      </c>
      <c r="J23" s="68">
        <f>CC10</f>
        <v>0</v>
      </c>
      <c r="K23" s="69">
        <f>CD10</f>
        <v>0</v>
      </c>
      <c r="L23" s="68"/>
      <c r="M23" s="68">
        <f>CE10</f>
        <v>0</v>
      </c>
      <c r="N23" s="166">
        <f t="shared" si="5"/>
        <v>70</v>
      </c>
      <c r="O23" s="38">
        <v>8</v>
      </c>
      <c r="P23" s="341" t="s">
        <v>229</v>
      </c>
      <c r="Q23" s="344">
        <f>VLOOKUP(P23,Apoio!C:E,2,0)</f>
        <v>210304.3</v>
      </c>
      <c r="R23" s="343">
        <v>220000</v>
      </c>
      <c r="S23" s="206">
        <v>5</v>
      </c>
      <c r="T23" s="38">
        <v>8</v>
      </c>
      <c r="U23" s="215"/>
      <c r="V23" s="321"/>
      <c r="W23" s="320"/>
      <c r="X23" s="206">
        <f t="shared" si="6"/>
        <v>5</v>
      </c>
      <c r="Y23" s="38">
        <v>8</v>
      </c>
      <c r="Z23" s="215"/>
      <c r="AA23" s="321"/>
      <c r="AB23" s="322"/>
      <c r="AC23" s="323"/>
      <c r="AD23" s="38">
        <v>8</v>
      </c>
      <c r="AE23" s="215"/>
      <c r="AF23" s="324"/>
      <c r="AG23" s="212"/>
      <c r="AH23" s="207"/>
      <c r="AI23" s="38">
        <v>8</v>
      </c>
      <c r="AJ23" s="176"/>
      <c r="AK23" s="160"/>
      <c r="AL23" s="160"/>
      <c r="AM23" s="179"/>
      <c r="AN23" s="38">
        <v>8</v>
      </c>
      <c r="AO23" s="176"/>
      <c r="AP23" s="160"/>
      <c r="AQ23" s="160"/>
      <c r="AR23" s="179"/>
      <c r="AS23" s="38">
        <v>8</v>
      </c>
      <c r="AT23" s="176"/>
      <c r="AU23" s="160"/>
      <c r="AV23" s="160"/>
      <c r="AW23" s="179"/>
      <c r="AX23" s="38">
        <v>8</v>
      </c>
      <c r="AY23" s="176"/>
      <c r="AZ23" s="160"/>
      <c r="BA23" s="160"/>
      <c r="BB23" s="179"/>
      <c r="BC23" s="38">
        <v>8</v>
      </c>
      <c r="BD23" s="176"/>
      <c r="BE23" s="160"/>
      <c r="BF23" s="160"/>
      <c r="BG23" s="179"/>
      <c r="BH23" s="38">
        <v>8</v>
      </c>
      <c r="BI23" s="176"/>
      <c r="BJ23" s="160"/>
      <c r="BK23" s="160"/>
      <c r="BL23" s="179"/>
      <c r="BM23" s="38">
        <v>8</v>
      </c>
      <c r="BN23" s="176"/>
      <c r="BO23" s="160"/>
      <c r="BP23" s="160"/>
      <c r="BQ23" s="179"/>
      <c r="BR23" s="38">
        <v>8</v>
      </c>
      <c r="BS23" s="176"/>
      <c r="BT23" s="160"/>
      <c r="BU23" s="160"/>
      <c r="BV23" s="179"/>
      <c r="BW23" s="38">
        <v>8</v>
      </c>
      <c r="BX23" s="176"/>
      <c r="BY23" s="160"/>
      <c r="BZ23" s="160"/>
      <c r="CA23" s="179"/>
      <c r="CB23" s="38">
        <v>8</v>
      </c>
      <c r="CC23" s="176"/>
      <c r="CD23" s="160"/>
      <c r="CE23" s="160"/>
      <c r="CF23" s="179"/>
      <c r="CG23" s="38"/>
      <c r="CH23" s="11"/>
      <c r="CI23" s="23"/>
      <c r="CJ23" s="23"/>
      <c r="CK23" s="37"/>
    </row>
    <row r="24" spans="1:89" ht="13.5" thickBot="1" x14ac:dyDescent="0.25">
      <c r="O24" s="36">
        <v>9</v>
      </c>
      <c r="P24" s="341" t="s">
        <v>230</v>
      </c>
      <c r="Q24" s="344">
        <f>VLOOKUP(P24,Apoio!C:E,2,0)</f>
        <v>210316.79999999999</v>
      </c>
      <c r="R24" s="343">
        <v>220000</v>
      </c>
      <c r="S24" s="206">
        <v>5</v>
      </c>
      <c r="T24" s="38">
        <v>9</v>
      </c>
      <c r="U24" s="215"/>
      <c r="V24" s="321"/>
      <c r="W24" s="320"/>
      <c r="X24" s="206">
        <f t="shared" si="6"/>
        <v>5</v>
      </c>
      <c r="Y24" s="38">
        <v>9</v>
      </c>
      <c r="Z24" s="215"/>
      <c r="AA24" s="321"/>
      <c r="AB24" s="322"/>
      <c r="AC24" s="323"/>
      <c r="AD24" s="38">
        <v>9</v>
      </c>
      <c r="AE24" s="215"/>
      <c r="AF24" s="324"/>
      <c r="AG24" s="212"/>
      <c r="AH24" s="207"/>
      <c r="AI24" s="38">
        <v>9</v>
      </c>
      <c r="AJ24" s="176"/>
      <c r="AK24" s="160"/>
      <c r="AL24" s="160"/>
      <c r="AM24" s="179"/>
      <c r="AN24" s="38">
        <v>9</v>
      </c>
      <c r="AO24" s="176"/>
      <c r="AP24" s="160"/>
      <c r="AQ24" s="160"/>
      <c r="AR24" s="179"/>
      <c r="AS24" s="38">
        <v>9</v>
      </c>
      <c r="AT24" s="176"/>
      <c r="AU24" s="160"/>
      <c r="AV24" s="160"/>
      <c r="AW24" s="179"/>
      <c r="AX24" s="38">
        <v>9</v>
      </c>
      <c r="AY24" s="176"/>
      <c r="AZ24" s="160"/>
      <c r="BA24" s="160"/>
      <c r="BB24" s="179"/>
      <c r="BC24" s="38">
        <v>9</v>
      </c>
      <c r="BD24" s="176"/>
      <c r="BE24" s="160"/>
      <c r="BF24" s="160"/>
      <c r="BG24" s="179"/>
      <c r="BH24" s="38">
        <v>9</v>
      </c>
      <c r="BI24" s="176"/>
      <c r="BJ24" s="160"/>
      <c r="BK24" s="160"/>
      <c r="BL24" s="179"/>
      <c r="BM24" s="38">
        <v>9</v>
      </c>
      <c r="BN24" s="176"/>
      <c r="BO24" s="160"/>
      <c r="BP24" s="160"/>
      <c r="BQ24" s="179"/>
      <c r="BR24" s="38">
        <v>9</v>
      </c>
      <c r="BS24" s="176"/>
      <c r="BT24" s="160"/>
      <c r="BU24" s="160"/>
      <c r="BV24" s="179"/>
      <c r="BW24" s="38">
        <v>9</v>
      </c>
      <c r="BX24" s="176"/>
      <c r="BY24" s="160"/>
      <c r="BZ24" s="160"/>
      <c r="CA24" s="179"/>
      <c r="CB24" s="38">
        <v>9</v>
      </c>
      <c r="CC24" s="176"/>
      <c r="CD24" s="160"/>
      <c r="CE24" s="160"/>
      <c r="CF24" s="179"/>
      <c r="CG24" s="38"/>
      <c r="CH24" s="11"/>
      <c r="CI24" s="23"/>
      <c r="CJ24" s="23"/>
      <c r="CK24" s="37"/>
    </row>
    <row r="25" spans="1:89" ht="13.5" thickBot="1" x14ac:dyDescent="0.25">
      <c r="O25" s="38">
        <v>10</v>
      </c>
      <c r="P25" s="341" t="s">
        <v>231</v>
      </c>
      <c r="Q25" s="344">
        <f>VLOOKUP(P25,Apoio!C:E,2,0)</f>
        <v>210316.79999999999</v>
      </c>
      <c r="R25" s="343">
        <v>220000</v>
      </c>
      <c r="S25" s="206">
        <v>5</v>
      </c>
      <c r="T25" s="36">
        <v>10</v>
      </c>
      <c r="U25" s="215"/>
      <c r="V25" s="321"/>
      <c r="W25" s="320"/>
      <c r="X25" s="206">
        <f t="shared" si="6"/>
        <v>5</v>
      </c>
      <c r="Y25" s="36">
        <v>10</v>
      </c>
      <c r="Z25" s="215"/>
      <c r="AA25" s="321"/>
      <c r="AB25" s="322"/>
      <c r="AC25" s="323"/>
      <c r="AD25" s="36">
        <v>10</v>
      </c>
      <c r="AE25" s="215"/>
      <c r="AF25" s="324"/>
      <c r="AG25" s="212"/>
      <c r="AH25" s="207"/>
      <c r="AI25" s="36">
        <v>10</v>
      </c>
      <c r="AJ25" s="176"/>
      <c r="AK25" s="160"/>
      <c r="AL25" s="160"/>
      <c r="AM25" s="179"/>
      <c r="AN25" s="36">
        <v>10</v>
      </c>
      <c r="AO25" s="176"/>
      <c r="AP25" s="160"/>
      <c r="AQ25" s="160"/>
      <c r="AR25" s="179"/>
      <c r="AS25" s="36">
        <v>10</v>
      </c>
      <c r="AT25" s="176"/>
      <c r="AU25" s="160"/>
      <c r="AV25" s="160"/>
      <c r="AW25" s="179"/>
      <c r="AX25" s="36">
        <v>10</v>
      </c>
      <c r="AY25" s="176"/>
      <c r="AZ25" s="160"/>
      <c r="BA25" s="160"/>
      <c r="BB25" s="179"/>
      <c r="BC25" s="36">
        <v>10</v>
      </c>
      <c r="BD25" s="176"/>
      <c r="BE25" s="160"/>
      <c r="BF25" s="160"/>
      <c r="BG25" s="179"/>
      <c r="BH25" s="36">
        <v>10</v>
      </c>
      <c r="BI25" s="176"/>
      <c r="BJ25" s="160"/>
      <c r="BK25" s="160"/>
      <c r="BL25" s="179"/>
      <c r="BM25" s="36">
        <v>10</v>
      </c>
      <c r="BN25" s="176"/>
      <c r="BO25" s="160"/>
      <c r="BP25" s="160"/>
      <c r="BQ25" s="179"/>
      <c r="BR25" s="36">
        <v>10</v>
      </c>
      <c r="BS25" s="176"/>
      <c r="BT25" s="160"/>
      <c r="BU25" s="160"/>
      <c r="BV25" s="179"/>
      <c r="BW25" s="36">
        <v>10</v>
      </c>
      <c r="BX25" s="176"/>
      <c r="BY25" s="160"/>
      <c r="BZ25" s="160"/>
      <c r="CA25" s="179"/>
      <c r="CB25" s="36">
        <v>10</v>
      </c>
      <c r="CC25" s="176"/>
      <c r="CD25" s="160"/>
      <c r="CE25" s="160"/>
      <c r="CF25" s="179"/>
      <c r="CG25" s="36"/>
      <c r="CH25" s="11"/>
      <c r="CI25" s="23"/>
      <c r="CJ25" s="23"/>
      <c r="CK25" s="37"/>
    </row>
    <row r="26" spans="1:89" ht="13.5" thickBot="1" x14ac:dyDescent="0.25">
      <c r="O26" s="36">
        <v>11</v>
      </c>
      <c r="P26" s="341" t="s">
        <v>232</v>
      </c>
      <c r="Q26" s="344">
        <f>VLOOKUP(P26,Apoio!C:E,2,0)</f>
        <v>207911.8</v>
      </c>
      <c r="R26" s="343">
        <v>220000</v>
      </c>
      <c r="S26" s="206">
        <v>5</v>
      </c>
      <c r="T26" s="36">
        <v>11</v>
      </c>
      <c r="U26" s="215"/>
      <c r="V26" s="321"/>
      <c r="W26" s="320"/>
      <c r="X26" s="206">
        <f t="shared" si="6"/>
        <v>5</v>
      </c>
      <c r="Y26" s="36">
        <v>11</v>
      </c>
      <c r="Z26" s="215"/>
      <c r="AA26" s="321"/>
      <c r="AB26" s="322"/>
      <c r="AC26" s="323"/>
      <c r="AD26" s="36">
        <v>11</v>
      </c>
      <c r="AE26" s="215"/>
      <c r="AF26" s="324"/>
      <c r="AG26" s="212"/>
      <c r="AH26" s="207"/>
      <c r="AI26" s="36">
        <v>11</v>
      </c>
      <c r="AJ26" s="176"/>
      <c r="AK26" s="160"/>
      <c r="AL26" s="160"/>
      <c r="AM26" s="179"/>
      <c r="AN26" s="36">
        <v>11</v>
      </c>
      <c r="AO26" s="176"/>
      <c r="AP26" s="160"/>
      <c r="AQ26" s="160"/>
      <c r="AR26" s="179"/>
      <c r="AS26" s="36">
        <v>11</v>
      </c>
      <c r="AT26" s="176"/>
      <c r="AU26" s="160"/>
      <c r="AV26" s="160"/>
      <c r="AW26" s="179"/>
      <c r="AX26" s="36">
        <v>11</v>
      </c>
      <c r="AY26" s="176"/>
      <c r="AZ26" s="160"/>
      <c r="BA26" s="160"/>
      <c r="BB26" s="179"/>
      <c r="BC26" s="36">
        <v>11</v>
      </c>
      <c r="BD26" s="176"/>
      <c r="BE26" s="160"/>
      <c r="BF26" s="160"/>
      <c r="BG26" s="179"/>
      <c r="BH26" s="36">
        <v>11</v>
      </c>
      <c r="BI26" s="176"/>
      <c r="BJ26" s="160"/>
      <c r="BK26" s="160"/>
      <c r="BL26" s="179"/>
      <c r="BM26" s="36">
        <v>11</v>
      </c>
      <c r="BN26" s="176"/>
      <c r="BO26" s="160"/>
      <c r="BP26" s="160"/>
      <c r="BQ26" s="179"/>
      <c r="BR26" s="36">
        <v>11</v>
      </c>
      <c r="BS26" s="176"/>
      <c r="BT26" s="160"/>
      <c r="BU26" s="160"/>
      <c r="BV26" s="179"/>
      <c r="BW26" s="36">
        <v>11</v>
      </c>
      <c r="BX26" s="176"/>
      <c r="BY26" s="160"/>
      <c r="BZ26" s="160"/>
      <c r="CA26" s="179"/>
      <c r="CB26" s="36">
        <v>11</v>
      </c>
      <c r="CC26" s="176"/>
      <c r="CD26" s="160"/>
      <c r="CE26" s="160"/>
      <c r="CF26" s="179"/>
      <c r="CG26" s="36"/>
      <c r="CH26" s="11"/>
      <c r="CI26" s="23"/>
      <c r="CJ26" s="23"/>
      <c r="CK26" s="37"/>
    </row>
    <row r="27" spans="1:89" ht="13.5" thickBot="1" x14ac:dyDescent="0.25">
      <c r="B27" s="4"/>
      <c r="O27" s="38">
        <v>12</v>
      </c>
      <c r="P27" s="341" t="s">
        <v>233</v>
      </c>
      <c r="Q27" s="344">
        <f>VLOOKUP(P27,Apoio!C:E,2,0)</f>
        <v>208411.6</v>
      </c>
      <c r="R27" s="343">
        <v>220000</v>
      </c>
      <c r="S27" s="206">
        <v>5</v>
      </c>
      <c r="T27" s="36">
        <v>12</v>
      </c>
      <c r="U27" s="176"/>
      <c r="V27" s="160"/>
      <c r="W27" s="160"/>
      <c r="X27" s="179"/>
      <c r="Y27" s="36">
        <v>12</v>
      </c>
      <c r="Z27" s="215"/>
      <c r="AA27" s="160"/>
      <c r="AB27" s="322"/>
      <c r="AC27" s="179"/>
      <c r="AD27" s="36">
        <v>12</v>
      </c>
      <c r="AE27" s="176"/>
      <c r="AF27" s="160"/>
      <c r="AG27" s="160"/>
      <c r="AH27" s="179"/>
      <c r="AI27" s="36">
        <v>12</v>
      </c>
      <c r="AJ27" s="176"/>
      <c r="AK27" s="160"/>
      <c r="AL27" s="160"/>
      <c r="AM27" s="179"/>
      <c r="AN27" s="36">
        <v>12</v>
      </c>
      <c r="AO27" s="176"/>
      <c r="AP27" s="160"/>
      <c r="AQ27" s="160"/>
      <c r="AR27" s="179"/>
      <c r="AS27" s="36">
        <v>12</v>
      </c>
      <c r="AT27" s="176"/>
      <c r="AU27" s="160"/>
      <c r="AV27" s="160"/>
      <c r="AW27" s="179"/>
      <c r="AX27" s="36">
        <v>12</v>
      </c>
      <c r="AY27" s="176"/>
      <c r="AZ27" s="160"/>
      <c r="BA27" s="160"/>
      <c r="BB27" s="179"/>
      <c r="BC27" s="36">
        <v>12</v>
      </c>
      <c r="BD27" s="176"/>
      <c r="BE27" s="160"/>
      <c r="BF27" s="160"/>
      <c r="BG27" s="179"/>
      <c r="BH27" s="36">
        <v>12</v>
      </c>
      <c r="BI27" s="176"/>
      <c r="BJ27" s="160"/>
      <c r="BK27" s="160"/>
      <c r="BL27" s="179"/>
      <c r="BM27" s="36">
        <v>12</v>
      </c>
      <c r="BN27" s="176"/>
      <c r="BO27" s="160"/>
      <c r="BP27" s="160"/>
      <c r="BQ27" s="179"/>
      <c r="BR27" s="36">
        <v>12</v>
      </c>
      <c r="BS27" s="176"/>
      <c r="BT27" s="160"/>
      <c r="BU27" s="160"/>
      <c r="BV27" s="179"/>
      <c r="BW27" s="36">
        <v>12</v>
      </c>
      <c r="BX27" s="176"/>
      <c r="BY27" s="160"/>
      <c r="BZ27" s="160"/>
      <c r="CA27" s="179"/>
      <c r="CB27" s="36">
        <v>12</v>
      </c>
      <c r="CC27" s="176"/>
      <c r="CD27" s="160"/>
      <c r="CE27" s="160"/>
      <c r="CF27" s="179"/>
      <c r="CG27" s="36"/>
      <c r="CH27" s="11"/>
      <c r="CI27" s="23"/>
      <c r="CJ27" s="23"/>
      <c r="CK27" s="37"/>
    </row>
    <row r="28" spans="1:89" ht="13.5" thickBot="1" x14ac:dyDescent="0.25">
      <c r="B28" s="4"/>
      <c r="O28" s="36">
        <v>13</v>
      </c>
      <c r="P28" s="341" t="s">
        <v>234</v>
      </c>
      <c r="Q28" s="344">
        <f>VLOOKUP(P28,Apoio!C:E,2,0)</f>
        <v>208411.6</v>
      </c>
      <c r="R28" s="343">
        <v>220000</v>
      </c>
      <c r="S28" s="206">
        <v>5</v>
      </c>
      <c r="T28" s="36">
        <v>13</v>
      </c>
      <c r="U28" s="176"/>
      <c r="V28" s="160"/>
      <c r="W28" s="160"/>
      <c r="X28" s="179"/>
      <c r="Y28" s="36">
        <v>13</v>
      </c>
      <c r="Z28" s="215"/>
      <c r="AA28" s="160"/>
      <c r="AB28" s="322"/>
      <c r="AC28" s="179"/>
      <c r="AD28" s="36">
        <v>13</v>
      </c>
      <c r="AE28" s="176"/>
      <c r="AF28" s="160"/>
      <c r="AG28" s="160"/>
      <c r="AH28" s="179"/>
      <c r="AI28" s="36">
        <v>13</v>
      </c>
      <c r="AJ28" s="176"/>
      <c r="AK28" s="160"/>
      <c r="AL28" s="160"/>
      <c r="AM28" s="179"/>
      <c r="AN28" s="36">
        <v>13</v>
      </c>
      <c r="AO28" s="176"/>
      <c r="AP28" s="160"/>
      <c r="AQ28" s="160"/>
      <c r="AR28" s="179"/>
      <c r="AS28" s="36">
        <v>13</v>
      </c>
      <c r="AT28" s="176"/>
      <c r="AU28" s="160"/>
      <c r="AV28" s="160"/>
      <c r="AW28" s="179"/>
      <c r="AX28" s="36">
        <v>13</v>
      </c>
      <c r="AY28" s="176"/>
      <c r="AZ28" s="160"/>
      <c r="BA28" s="160"/>
      <c r="BB28" s="179"/>
      <c r="BC28" s="36">
        <v>13</v>
      </c>
      <c r="BD28" s="176"/>
      <c r="BE28" s="160"/>
      <c r="BF28" s="160"/>
      <c r="BG28" s="179"/>
      <c r="BH28" s="36">
        <v>13</v>
      </c>
      <c r="BI28" s="176"/>
      <c r="BJ28" s="160"/>
      <c r="BK28" s="160"/>
      <c r="BL28" s="179"/>
      <c r="BM28" s="36">
        <v>13</v>
      </c>
      <c r="BN28" s="176"/>
      <c r="BO28" s="160"/>
      <c r="BP28" s="160"/>
      <c r="BQ28" s="179"/>
      <c r="BR28" s="36">
        <v>13</v>
      </c>
      <c r="BS28" s="176"/>
      <c r="BT28" s="160"/>
      <c r="BU28" s="160"/>
      <c r="BV28" s="179"/>
      <c r="BW28" s="36">
        <v>13</v>
      </c>
      <c r="BX28" s="176"/>
      <c r="BY28" s="160"/>
      <c r="BZ28" s="160"/>
      <c r="CA28" s="179"/>
      <c r="CB28" s="36">
        <v>13</v>
      </c>
      <c r="CC28" s="176"/>
      <c r="CD28" s="160"/>
      <c r="CE28" s="160"/>
      <c r="CF28" s="179"/>
      <c r="CG28" s="36"/>
      <c r="CH28" s="11"/>
      <c r="CI28" s="23"/>
      <c r="CJ28" s="23"/>
      <c r="CK28" s="37"/>
    </row>
    <row r="29" spans="1:89" ht="13.5" thickBot="1" x14ac:dyDescent="0.25">
      <c r="B29" s="4"/>
      <c r="O29" s="38">
        <v>14</v>
      </c>
      <c r="P29" s="341" t="s">
        <v>235</v>
      </c>
      <c r="Q29" s="344">
        <f>VLOOKUP(P29,Apoio!C:E,2,0)</f>
        <v>207911.8</v>
      </c>
      <c r="R29" s="343">
        <v>220000</v>
      </c>
      <c r="S29" s="206">
        <v>5</v>
      </c>
      <c r="T29" s="38">
        <v>14</v>
      </c>
      <c r="U29" s="176"/>
      <c r="V29" s="160"/>
      <c r="W29" s="160"/>
      <c r="X29" s="179"/>
      <c r="Y29" s="38">
        <v>14</v>
      </c>
      <c r="Z29" s="215"/>
      <c r="AA29" s="160"/>
      <c r="AB29" s="322"/>
      <c r="AC29" s="179"/>
      <c r="AD29" s="38">
        <v>14</v>
      </c>
      <c r="AE29" s="176"/>
      <c r="AF29" s="160"/>
      <c r="AG29" s="160"/>
      <c r="AH29" s="179"/>
      <c r="AI29" s="38">
        <v>14</v>
      </c>
      <c r="AJ29" s="176"/>
      <c r="AK29" s="160"/>
      <c r="AL29" s="160"/>
      <c r="AM29" s="179"/>
      <c r="AN29" s="38">
        <v>14</v>
      </c>
      <c r="AO29" s="176"/>
      <c r="AP29" s="160"/>
      <c r="AQ29" s="160"/>
      <c r="AR29" s="179"/>
      <c r="AS29" s="38">
        <v>14</v>
      </c>
      <c r="AT29" s="176"/>
      <c r="AU29" s="160"/>
      <c r="AV29" s="160"/>
      <c r="AW29" s="179"/>
      <c r="AX29" s="38">
        <v>14</v>
      </c>
      <c r="AY29" s="176"/>
      <c r="AZ29" s="160"/>
      <c r="BA29" s="160"/>
      <c r="BB29" s="179"/>
      <c r="BC29" s="38">
        <v>14</v>
      </c>
      <c r="BD29" s="176"/>
      <c r="BE29" s="160"/>
      <c r="BF29" s="160"/>
      <c r="BG29" s="179"/>
      <c r="BH29" s="38">
        <v>14</v>
      </c>
      <c r="BI29" s="176"/>
      <c r="BJ29" s="160"/>
      <c r="BK29" s="160"/>
      <c r="BL29" s="179"/>
      <c r="BM29" s="38">
        <v>14</v>
      </c>
      <c r="BN29" s="176"/>
      <c r="BO29" s="160"/>
      <c r="BP29" s="160"/>
      <c r="BQ29" s="179"/>
      <c r="BR29" s="38">
        <v>14</v>
      </c>
      <c r="BS29" s="176"/>
      <c r="BT29" s="160"/>
      <c r="BU29" s="160"/>
      <c r="BV29" s="179"/>
      <c r="BW29" s="38">
        <v>14</v>
      </c>
      <c r="BX29" s="176"/>
      <c r="BY29" s="160"/>
      <c r="BZ29" s="160"/>
      <c r="CA29" s="179"/>
      <c r="CB29" s="38">
        <v>14</v>
      </c>
      <c r="CC29" s="176"/>
      <c r="CD29" s="160"/>
      <c r="CE29" s="160"/>
      <c r="CF29" s="179"/>
      <c r="CG29" s="38"/>
      <c r="CH29" s="11"/>
      <c r="CI29" s="23"/>
      <c r="CJ29" s="23"/>
      <c r="CK29" s="37"/>
    </row>
    <row r="30" spans="1:89" ht="13.5" thickBot="1" x14ac:dyDescent="0.25">
      <c r="O30" s="36">
        <v>15</v>
      </c>
      <c r="P30" s="341" t="s">
        <v>236</v>
      </c>
      <c r="Q30" s="344">
        <f>VLOOKUP(P30,Apoio!C:E,2,0)</f>
        <v>205555.4</v>
      </c>
      <c r="R30" s="343">
        <v>220000</v>
      </c>
      <c r="S30" s="206">
        <v>5</v>
      </c>
      <c r="T30" s="38">
        <v>15</v>
      </c>
      <c r="U30" s="176"/>
      <c r="V30" s="160"/>
      <c r="W30" s="160"/>
      <c r="X30" s="179"/>
      <c r="Y30" s="38">
        <v>15</v>
      </c>
      <c r="Z30" s="176"/>
      <c r="AA30" s="160"/>
      <c r="AB30" s="322"/>
      <c r="AC30" s="179"/>
      <c r="AD30" s="38">
        <v>15</v>
      </c>
      <c r="AE30" s="176"/>
      <c r="AF30" s="160"/>
      <c r="AG30" s="160"/>
      <c r="AH30" s="179"/>
      <c r="AI30" s="38">
        <v>15</v>
      </c>
      <c r="AJ30" s="176"/>
      <c r="AK30" s="160"/>
      <c r="AL30" s="160"/>
      <c r="AM30" s="179"/>
      <c r="AN30" s="38">
        <v>15</v>
      </c>
      <c r="AO30" s="176"/>
      <c r="AP30" s="160"/>
      <c r="AQ30" s="160"/>
      <c r="AR30" s="179"/>
      <c r="AS30" s="38">
        <v>15</v>
      </c>
      <c r="AT30" s="176"/>
      <c r="AU30" s="160"/>
      <c r="AV30" s="160"/>
      <c r="AW30" s="179"/>
      <c r="AX30" s="38">
        <v>15</v>
      </c>
      <c r="AY30" s="176"/>
      <c r="AZ30" s="160"/>
      <c r="BA30" s="160"/>
      <c r="BB30" s="179"/>
      <c r="BC30" s="38">
        <v>15</v>
      </c>
      <c r="BD30" s="176"/>
      <c r="BE30" s="160"/>
      <c r="BF30" s="160"/>
      <c r="BG30" s="179"/>
      <c r="BH30" s="38">
        <v>15</v>
      </c>
      <c r="BI30" s="176"/>
      <c r="BJ30" s="160"/>
      <c r="BK30" s="160"/>
      <c r="BL30" s="179"/>
      <c r="BM30" s="38">
        <v>15</v>
      </c>
      <c r="BN30" s="176"/>
      <c r="BO30" s="160"/>
      <c r="BP30" s="160"/>
      <c r="BQ30" s="179"/>
      <c r="BR30" s="38">
        <v>15</v>
      </c>
      <c r="BS30" s="176"/>
      <c r="BT30" s="160"/>
      <c r="BU30" s="160"/>
      <c r="BV30" s="179"/>
      <c r="BW30" s="38">
        <v>15</v>
      </c>
      <c r="BX30" s="176"/>
      <c r="BY30" s="160"/>
      <c r="BZ30" s="160"/>
      <c r="CA30" s="179"/>
      <c r="CB30" s="38">
        <v>15</v>
      </c>
      <c r="CC30" s="176"/>
      <c r="CD30" s="160"/>
      <c r="CE30" s="160"/>
      <c r="CF30" s="179"/>
      <c r="CG30" s="38"/>
      <c r="CH30" s="11"/>
      <c r="CI30" s="23"/>
      <c r="CJ30" s="23"/>
      <c r="CK30" s="37"/>
    </row>
    <row r="31" spans="1:89" ht="13.5" thickBot="1" x14ac:dyDescent="0.25">
      <c r="O31" s="38">
        <v>16</v>
      </c>
      <c r="P31" s="341" t="s">
        <v>237</v>
      </c>
      <c r="Q31" s="344">
        <f>VLOOKUP(P31,Apoio!C:E,2,0)</f>
        <v>210304.3</v>
      </c>
      <c r="R31" s="343">
        <v>220000</v>
      </c>
      <c r="S31" s="206">
        <v>5</v>
      </c>
      <c r="T31" s="36">
        <v>16</v>
      </c>
      <c r="U31" s="176"/>
      <c r="V31" s="160"/>
      <c r="W31" s="160"/>
      <c r="X31" s="179"/>
      <c r="Y31" s="36">
        <v>16</v>
      </c>
      <c r="Z31" s="176"/>
      <c r="AA31" s="160"/>
      <c r="AB31" s="322"/>
      <c r="AC31" s="179"/>
      <c r="AD31" s="36">
        <v>16</v>
      </c>
      <c r="AE31" s="176"/>
      <c r="AF31" s="160"/>
      <c r="AG31" s="160"/>
      <c r="AH31" s="179"/>
      <c r="AI31" s="36">
        <v>16</v>
      </c>
      <c r="AJ31" s="176"/>
      <c r="AK31" s="160"/>
      <c r="AL31" s="160"/>
      <c r="AM31" s="179"/>
      <c r="AN31" s="36">
        <v>16</v>
      </c>
      <c r="AO31" s="176"/>
      <c r="AP31" s="160"/>
      <c r="AQ31" s="160"/>
      <c r="AR31" s="179"/>
      <c r="AS31" s="36">
        <v>16</v>
      </c>
      <c r="AT31" s="176"/>
      <c r="AU31" s="160"/>
      <c r="AV31" s="160"/>
      <c r="AW31" s="179"/>
      <c r="AX31" s="36">
        <v>16</v>
      </c>
      <c r="AY31" s="176"/>
      <c r="AZ31" s="160"/>
      <c r="BA31" s="160"/>
      <c r="BB31" s="179"/>
      <c r="BC31" s="36">
        <v>16</v>
      </c>
      <c r="BD31" s="176"/>
      <c r="BE31" s="160"/>
      <c r="BF31" s="160"/>
      <c r="BG31" s="179"/>
      <c r="BH31" s="36">
        <v>16</v>
      </c>
      <c r="BI31" s="176"/>
      <c r="BJ31" s="160"/>
      <c r="BK31" s="160"/>
      <c r="BL31" s="179"/>
      <c r="BM31" s="36">
        <v>16</v>
      </c>
      <c r="BN31" s="176"/>
      <c r="BO31" s="160"/>
      <c r="BP31" s="160"/>
      <c r="BQ31" s="179"/>
      <c r="BR31" s="36">
        <v>16</v>
      </c>
      <c r="BS31" s="176"/>
      <c r="BT31" s="160"/>
      <c r="BU31" s="160"/>
      <c r="BV31" s="179"/>
      <c r="BW31" s="36">
        <v>16</v>
      </c>
      <c r="BX31" s="176"/>
      <c r="BY31" s="160"/>
      <c r="BZ31" s="160"/>
      <c r="CA31" s="179"/>
      <c r="CB31" s="36">
        <v>16</v>
      </c>
      <c r="CC31" s="176"/>
      <c r="CD31" s="160"/>
      <c r="CE31" s="160"/>
      <c r="CF31" s="179"/>
      <c r="CG31" s="36"/>
      <c r="CH31" s="11"/>
      <c r="CI31" s="23"/>
      <c r="CJ31" s="23"/>
      <c r="CK31" s="37"/>
    </row>
    <row r="32" spans="1:89" ht="13.5" thickBot="1" x14ac:dyDescent="0.25">
      <c r="D32" s="67" t="s">
        <v>129</v>
      </c>
      <c r="E32" s="58"/>
      <c r="O32" s="36">
        <v>17</v>
      </c>
      <c r="P32" s="341" t="s">
        <v>238</v>
      </c>
      <c r="Q32" s="344">
        <f>VLOOKUP(P32,Apoio!C:E,2,0)</f>
        <v>210316.79999999999</v>
      </c>
      <c r="R32" s="343">
        <v>220000</v>
      </c>
      <c r="S32" s="206">
        <v>5</v>
      </c>
      <c r="T32" s="36">
        <v>17</v>
      </c>
      <c r="U32" s="176"/>
      <c r="V32" s="160"/>
      <c r="W32" s="160"/>
      <c r="X32" s="179"/>
      <c r="Y32" s="36">
        <v>17</v>
      </c>
      <c r="Z32" s="176"/>
      <c r="AA32" s="160"/>
      <c r="AB32" s="322"/>
      <c r="AC32" s="179"/>
      <c r="AD32" s="36">
        <v>17</v>
      </c>
      <c r="AE32" s="176"/>
      <c r="AF32" s="160"/>
      <c r="AG32" s="160"/>
      <c r="AH32" s="179"/>
      <c r="AI32" s="36">
        <v>17</v>
      </c>
      <c r="AJ32" s="176"/>
      <c r="AK32" s="160"/>
      <c r="AL32" s="160"/>
      <c r="AM32" s="179"/>
      <c r="AN32" s="36">
        <v>17</v>
      </c>
      <c r="AO32" s="176"/>
      <c r="AP32" s="160"/>
      <c r="AQ32" s="160"/>
      <c r="AR32" s="179"/>
      <c r="AS32" s="36">
        <v>17</v>
      </c>
      <c r="AT32" s="176"/>
      <c r="AU32" s="160"/>
      <c r="AV32" s="160"/>
      <c r="AW32" s="179"/>
      <c r="AX32" s="36">
        <v>17</v>
      </c>
      <c r="AY32" s="176"/>
      <c r="AZ32" s="160"/>
      <c r="BA32" s="160"/>
      <c r="BB32" s="179"/>
      <c r="BC32" s="36">
        <v>17</v>
      </c>
      <c r="BD32" s="176"/>
      <c r="BE32" s="160"/>
      <c r="BF32" s="160"/>
      <c r="BG32" s="179"/>
      <c r="BH32" s="36">
        <v>17</v>
      </c>
      <c r="BI32" s="176"/>
      <c r="BJ32" s="160"/>
      <c r="BK32" s="160"/>
      <c r="BL32" s="179"/>
      <c r="BM32" s="36">
        <v>17</v>
      </c>
      <c r="BN32" s="176"/>
      <c r="BO32" s="160"/>
      <c r="BP32" s="160"/>
      <c r="BQ32" s="179"/>
      <c r="BR32" s="36">
        <v>17</v>
      </c>
      <c r="BS32" s="176"/>
      <c r="BT32" s="160"/>
      <c r="BU32" s="160"/>
      <c r="BV32" s="179"/>
      <c r="BW32" s="36">
        <v>17</v>
      </c>
      <c r="BX32" s="176"/>
      <c r="BY32" s="160"/>
      <c r="BZ32" s="160"/>
      <c r="CA32" s="179"/>
      <c r="CB32" s="36">
        <v>17</v>
      </c>
      <c r="CC32" s="176"/>
      <c r="CD32" s="160"/>
      <c r="CE32" s="160"/>
      <c r="CF32" s="179"/>
      <c r="CG32" s="36"/>
      <c r="CH32" s="11"/>
      <c r="CI32" s="23"/>
      <c r="CJ32" s="23"/>
      <c r="CK32" s="37"/>
    </row>
    <row r="33" spans="4:89" ht="13.5" thickBot="1" x14ac:dyDescent="0.25">
      <c r="D33" s="72">
        <v>225000</v>
      </c>
      <c r="E33" s="59"/>
      <c r="O33" s="38">
        <v>18</v>
      </c>
      <c r="P33" s="341" t="s">
        <v>239</v>
      </c>
      <c r="Q33" s="344">
        <f>VLOOKUP(P33,Apoio!C:E,2,0)</f>
        <v>210316.79999999999</v>
      </c>
      <c r="R33" s="343">
        <v>220000</v>
      </c>
      <c r="S33" s="206">
        <v>5</v>
      </c>
      <c r="T33" s="36">
        <v>18</v>
      </c>
      <c r="U33" s="176"/>
      <c r="V33" s="160"/>
      <c r="W33" s="160"/>
      <c r="X33" s="179"/>
      <c r="Y33" s="36">
        <v>18</v>
      </c>
      <c r="Z33" s="176"/>
      <c r="AA33" s="160"/>
      <c r="AB33" s="322"/>
      <c r="AC33" s="179"/>
      <c r="AD33" s="36">
        <v>18</v>
      </c>
      <c r="AE33" s="176"/>
      <c r="AF33" s="160"/>
      <c r="AG33" s="160"/>
      <c r="AH33" s="179"/>
      <c r="AI33" s="36">
        <v>18</v>
      </c>
      <c r="AJ33" s="176"/>
      <c r="AK33" s="160"/>
      <c r="AL33" s="160"/>
      <c r="AM33" s="179"/>
      <c r="AN33" s="36">
        <v>18</v>
      </c>
      <c r="AO33" s="176"/>
      <c r="AP33" s="160"/>
      <c r="AQ33" s="160"/>
      <c r="AR33" s="179"/>
      <c r="AS33" s="36">
        <v>18</v>
      </c>
      <c r="AT33" s="176"/>
      <c r="AU33" s="160"/>
      <c r="AV33" s="160"/>
      <c r="AW33" s="179"/>
      <c r="AX33" s="36">
        <v>18</v>
      </c>
      <c r="AY33" s="176"/>
      <c r="AZ33" s="160"/>
      <c r="BA33" s="160"/>
      <c r="BB33" s="179"/>
      <c r="BC33" s="36">
        <v>18</v>
      </c>
      <c r="BD33" s="176"/>
      <c r="BE33" s="160"/>
      <c r="BF33" s="160"/>
      <c r="BG33" s="179"/>
      <c r="BH33" s="36">
        <v>18</v>
      </c>
      <c r="BI33" s="176"/>
      <c r="BJ33" s="160"/>
      <c r="BK33" s="160"/>
      <c r="BL33" s="179"/>
      <c r="BM33" s="36">
        <v>18</v>
      </c>
      <c r="BN33" s="176"/>
      <c r="BO33" s="160"/>
      <c r="BP33" s="160"/>
      <c r="BQ33" s="179"/>
      <c r="BR33" s="36">
        <v>18</v>
      </c>
      <c r="BS33" s="176"/>
      <c r="BT33" s="160"/>
      <c r="BU33" s="160"/>
      <c r="BV33" s="179"/>
      <c r="BW33" s="36">
        <v>18</v>
      </c>
      <c r="BX33" s="176"/>
      <c r="BY33" s="160"/>
      <c r="BZ33" s="160"/>
      <c r="CA33" s="179"/>
      <c r="CB33" s="36">
        <v>18</v>
      </c>
      <c r="CC33" s="176"/>
      <c r="CD33" s="160"/>
      <c r="CE33" s="160"/>
      <c r="CF33" s="179"/>
      <c r="CG33" s="36"/>
      <c r="CH33" s="11"/>
      <c r="CI33" s="23"/>
      <c r="CJ33" s="23"/>
      <c r="CK33" s="37"/>
    </row>
    <row r="34" spans="4:89" ht="13.5" thickBot="1" x14ac:dyDescent="0.25">
      <c r="D34" s="72">
        <v>250000</v>
      </c>
      <c r="E34" s="59"/>
      <c r="O34" s="36">
        <v>19</v>
      </c>
      <c r="P34" s="341" t="s">
        <v>240</v>
      </c>
      <c r="Q34" s="344">
        <f>VLOOKUP(P34,Apoio!C:E,2,0)</f>
        <v>207911.8</v>
      </c>
      <c r="R34" s="343">
        <v>220000</v>
      </c>
      <c r="S34" s="206">
        <v>5</v>
      </c>
      <c r="T34" s="36">
        <v>19</v>
      </c>
      <c r="U34" s="176"/>
      <c r="V34" s="160"/>
      <c r="W34" s="160"/>
      <c r="X34" s="179"/>
      <c r="Y34" s="36">
        <v>19</v>
      </c>
      <c r="Z34" s="176"/>
      <c r="AA34" s="160"/>
      <c r="AB34" s="322"/>
      <c r="AC34" s="179"/>
      <c r="AD34" s="36">
        <v>19</v>
      </c>
      <c r="AE34" s="176"/>
      <c r="AF34" s="160"/>
      <c r="AG34" s="160"/>
      <c r="AH34" s="179"/>
      <c r="AI34" s="36">
        <v>19</v>
      </c>
      <c r="AJ34" s="176"/>
      <c r="AK34" s="160"/>
      <c r="AL34" s="160"/>
      <c r="AM34" s="179"/>
      <c r="AN34" s="36">
        <v>19</v>
      </c>
      <c r="AO34" s="176"/>
      <c r="AP34" s="160"/>
      <c r="AQ34" s="160"/>
      <c r="AR34" s="179"/>
      <c r="AS34" s="36">
        <v>19</v>
      </c>
      <c r="AT34" s="176"/>
      <c r="AU34" s="160"/>
      <c r="AV34" s="160"/>
      <c r="AW34" s="179"/>
      <c r="AX34" s="36">
        <v>19</v>
      </c>
      <c r="AY34" s="176"/>
      <c r="AZ34" s="160"/>
      <c r="BA34" s="160"/>
      <c r="BB34" s="179"/>
      <c r="BC34" s="36">
        <v>19</v>
      </c>
      <c r="BD34" s="176"/>
      <c r="BE34" s="160"/>
      <c r="BF34" s="160"/>
      <c r="BG34" s="179"/>
      <c r="BH34" s="36">
        <v>19</v>
      </c>
      <c r="BI34" s="176"/>
      <c r="BJ34" s="160"/>
      <c r="BK34" s="160"/>
      <c r="BL34" s="179"/>
      <c r="BM34" s="36">
        <v>19</v>
      </c>
      <c r="BN34" s="176"/>
      <c r="BO34" s="160"/>
      <c r="BP34" s="160"/>
      <c r="BQ34" s="179"/>
      <c r="BR34" s="36">
        <v>19</v>
      </c>
      <c r="BS34" s="176"/>
      <c r="BT34" s="160"/>
      <c r="BU34" s="160"/>
      <c r="BV34" s="179"/>
      <c r="BW34" s="36">
        <v>19</v>
      </c>
      <c r="BX34" s="176"/>
      <c r="BY34" s="160"/>
      <c r="BZ34" s="160"/>
      <c r="CA34" s="179"/>
      <c r="CB34" s="36">
        <v>19</v>
      </c>
      <c r="CC34" s="176"/>
      <c r="CD34" s="160"/>
      <c r="CE34" s="160"/>
      <c r="CF34" s="179"/>
      <c r="CG34" s="36"/>
      <c r="CH34" s="11"/>
      <c r="CI34" s="23"/>
      <c r="CJ34" s="23"/>
      <c r="CK34" s="37"/>
    </row>
    <row r="35" spans="4:89" ht="13.5" thickBot="1" x14ac:dyDescent="0.25">
      <c r="O35" s="38">
        <v>20</v>
      </c>
      <c r="P35" s="341" t="s">
        <v>241</v>
      </c>
      <c r="Q35" s="344">
        <f>VLOOKUP(P35,Apoio!C:E,2,0)</f>
        <v>208411.6</v>
      </c>
      <c r="R35" s="343">
        <v>220000</v>
      </c>
      <c r="S35" s="206">
        <v>5</v>
      </c>
      <c r="T35" s="38">
        <v>20</v>
      </c>
      <c r="U35" s="176"/>
      <c r="V35" s="160"/>
      <c r="W35" s="160"/>
      <c r="X35" s="179"/>
      <c r="Y35" s="38">
        <v>20</v>
      </c>
      <c r="Z35" s="176"/>
      <c r="AA35" s="160"/>
      <c r="AB35" s="322"/>
      <c r="AC35" s="179"/>
      <c r="AD35" s="38">
        <v>20</v>
      </c>
      <c r="AE35" s="176"/>
      <c r="AF35" s="160"/>
      <c r="AG35" s="160"/>
      <c r="AH35" s="179"/>
      <c r="AI35" s="38">
        <v>20</v>
      </c>
      <c r="AJ35" s="176"/>
      <c r="AK35" s="160"/>
      <c r="AL35" s="160"/>
      <c r="AM35" s="179"/>
      <c r="AN35" s="38">
        <v>20</v>
      </c>
      <c r="AO35" s="176"/>
      <c r="AP35" s="160"/>
      <c r="AQ35" s="160"/>
      <c r="AR35" s="179"/>
      <c r="AS35" s="38">
        <v>20</v>
      </c>
      <c r="AT35" s="176"/>
      <c r="AU35" s="160"/>
      <c r="AV35" s="160"/>
      <c r="AW35" s="179"/>
      <c r="AX35" s="38">
        <v>20</v>
      </c>
      <c r="AY35" s="176"/>
      <c r="AZ35" s="160"/>
      <c r="BA35" s="160"/>
      <c r="BB35" s="179"/>
      <c r="BC35" s="38">
        <v>20</v>
      </c>
      <c r="BD35" s="176"/>
      <c r="BE35" s="160"/>
      <c r="BF35" s="160"/>
      <c r="BG35" s="179"/>
      <c r="BH35" s="38">
        <v>20</v>
      </c>
      <c r="BI35" s="176"/>
      <c r="BJ35" s="160"/>
      <c r="BK35" s="160"/>
      <c r="BL35" s="179"/>
      <c r="BM35" s="38">
        <v>20</v>
      </c>
      <c r="BN35" s="176"/>
      <c r="BO35" s="160"/>
      <c r="BP35" s="160"/>
      <c r="BQ35" s="179"/>
      <c r="BR35" s="38">
        <v>20</v>
      </c>
      <c r="BS35" s="176"/>
      <c r="BT35" s="160"/>
      <c r="BU35" s="160"/>
      <c r="BV35" s="179"/>
      <c r="BW35" s="38">
        <v>20</v>
      </c>
      <c r="BX35" s="176"/>
      <c r="BY35" s="160"/>
      <c r="BZ35" s="160"/>
      <c r="CA35" s="179"/>
      <c r="CB35" s="38">
        <v>20</v>
      </c>
      <c r="CC35" s="176"/>
      <c r="CD35" s="160"/>
      <c r="CE35" s="160"/>
      <c r="CF35" s="179"/>
      <c r="CG35" s="38"/>
      <c r="CH35" s="11"/>
      <c r="CI35" s="23"/>
      <c r="CJ35" s="23"/>
      <c r="CK35" s="37"/>
    </row>
    <row r="36" spans="4:89" ht="13.5" thickBot="1" x14ac:dyDescent="0.25">
      <c r="O36" s="36">
        <v>21</v>
      </c>
      <c r="P36" s="341" t="s">
        <v>242</v>
      </c>
      <c r="Q36" s="344">
        <f>VLOOKUP(P36,Apoio!C:E,2,0)</f>
        <v>208411.6</v>
      </c>
      <c r="R36" s="343">
        <v>220000</v>
      </c>
      <c r="S36" s="206">
        <v>5</v>
      </c>
      <c r="T36" s="38">
        <v>21</v>
      </c>
      <c r="U36" s="176"/>
      <c r="V36" s="160"/>
      <c r="W36" s="160"/>
      <c r="X36" s="179"/>
      <c r="Y36" s="38">
        <v>21</v>
      </c>
      <c r="Z36" s="176"/>
      <c r="AA36" s="160"/>
      <c r="AB36" s="322"/>
      <c r="AC36" s="179"/>
      <c r="AD36" s="38">
        <v>21</v>
      </c>
      <c r="AE36" s="176"/>
      <c r="AF36" s="160"/>
      <c r="AG36" s="160"/>
      <c r="AH36" s="179"/>
      <c r="AI36" s="38">
        <v>21</v>
      </c>
      <c r="AJ36" s="176"/>
      <c r="AK36" s="160"/>
      <c r="AL36" s="160"/>
      <c r="AM36" s="179"/>
      <c r="AN36" s="38">
        <v>21</v>
      </c>
      <c r="AO36" s="176"/>
      <c r="AP36" s="160"/>
      <c r="AQ36" s="160"/>
      <c r="AR36" s="179"/>
      <c r="AS36" s="38">
        <v>21</v>
      </c>
      <c r="AT36" s="176"/>
      <c r="AU36" s="160"/>
      <c r="AV36" s="160"/>
      <c r="AW36" s="179"/>
      <c r="AX36" s="38">
        <v>21</v>
      </c>
      <c r="AY36" s="176"/>
      <c r="AZ36" s="160"/>
      <c r="BA36" s="160"/>
      <c r="BB36" s="179"/>
      <c r="BC36" s="38">
        <v>21</v>
      </c>
      <c r="BD36" s="176"/>
      <c r="BE36" s="160"/>
      <c r="BF36" s="160"/>
      <c r="BG36" s="179"/>
      <c r="BH36" s="38">
        <v>21</v>
      </c>
      <c r="BI36" s="176"/>
      <c r="BJ36" s="160"/>
      <c r="BK36" s="160"/>
      <c r="BL36" s="179"/>
      <c r="BM36" s="38">
        <v>21</v>
      </c>
      <c r="BN36" s="176"/>
      <c r="BO36" s="160"/>
      <c r="BP36" s="160"/>
      <c r="BQ36" s="179"/>
      <c r="BR36" s="38">
        <v>21</v>
      </c>
      <c r="BS36" s="176"/>
      <c r="BT36" s="160"/>
      <c r="BU36" s="160"/>
      <c r="BV36" s="179"/>
      <c r="BW36" s="38">
        <v>21</v>
      </c>
      <c r="BX36" s="176"/>
      <c r="BY36" s="160"/>
      <c r="BZ36" s="160"/>
      <c r="CA36" s="179"/>
      <c r="CB36" s="38">
        <v>21</v>
      </c>
      <c r="CC36" s="176"/>
      <c r="CD36" s="160"/>
      <c r="CE36" s="160"/>
      <c r="CF36" s="179"/>
      <c r="CG36" s="38"/>
      <c r="CH36" s="11"/>
      <c r="CI36" s="23"/>
      <c r="CJ36" s="23"/>
      <c r="CK36" s="37"/>
    </row>
    <row r="37" spans="4:89" ht="13.5" thickBot="1" x14ac:dyDescent="0.25">
      <c r="O37" s="38">
        <v>22</v>
      </c>
      <c r="P37" s="341" t="s">
        <v>243</v>
      </c>
      <c r="Q37" s="344">
        <f>VLOOKUP(P37,Apoio!C:E,2,0)</f>
        <v>207911.8</v>
      </c>
      <c r="R37" s="343">
        <v>220000</v>
      </c>
      <c r="S37" s="206">
        <v>5</v>
      </c>
      <c r="T37" s="171">
        <v>22</v>
      </c>
      <c r="U37" s="178"/>
      <c r="V37" s="172"/>
      <c r="W37" s="172"/>
      <c r="X37" s="182"/>
      <c r="Y37" s="171">
        <v>22</v>
      </c>
      <c r="Z37" s="178"/>
      <c r="AA37" s="172"/>
      <c r="AB37" s="322"/>
      <c r="AC37" s="182"/>
      <c r="AD37" s="171">
        <v>22</v>
      </c>
      <c r="AE37" s="178"/>
      <c r="AF37" s="172"/>
      <c r="AG37" s="172"/>
      <c r="AH37" s="182"/>
      <c r="AI37" s="171">
        <v>22</v>
      </c>
      <c r="AJ37" s="178"/>
      <c r="AK37" s="172"/>
      <c r="AL37" s="172"/>
      <c r="AM37" s="182"/>
      <c r="AN37" s="171">
        <v>22</v>
      </c>
      <c r="AO37" s="178"/>
      <c r="AP37" s="172"/>
      <c r="AQ37" s="172"/>
      <c r="AR37" s="182"/>
      <c r="AS37" s="171">
        <v>22</v>
      </c>
      <c r="AT37" s="178"/>
      <c r="AU37" s="172"/>
      <c r="AV37" s="172"/>
      <c r="AW37" s="182"/>
      <c r="AX37" s="171">
        <v>22</v>
      </c>
      <c r="AY37" s="178"/>
      <c r="AZ37" s="172"/>
      <c r="BA37" s="172"/>
      <c r="BB37" s="182"/>
      <c r="BC37" s="171">
        <v>22</v>
      </c>
      <c r="BD37" s="178"/>
      <c r="BE37" s="172"/>
      <c r="BF37" s="172"/>
      <c r="BG37" s="182"/>
      <c r="BH37" s="171">
        <v>22</v>
      </c>
      <c r="BI37" s="178"/>
      <c r="BJ37" s="172"/>
      <c r="BK37" s="172"/>
      <c r="BL37" s="182"/>
      <c r="BM37" s="171">
        <v>22</v>
      </c>
      <c r="BN37" s="178"/>
      <c r="BO37" s="172"/>
      <c r="BP37" s="172"/>
      <c r="BQ37" s="182"/>
      <c r="BR37" s="171">
        <v>22</v>
      </c>
      <c r="BS37" s="178"/>
      <c r="BT37" s="172"/>
      <c r="BU37" s="172"/>
      <c r="BV37" s="182"/>
      <c r="BW37" s="171">
        <v>22</v>
      </c>
      <c r="BX37" s="178"/>
      <c r="BY37" s="172"/>
      <c r="BZ37" s="172"/>
      <c r="CA37" s="182"/>
      <c r="CB37" s="171">
        <v>22</v>
      </c>
      <c r="CC37" s="178"/>
      <c r="CD37" s="172"/>
      <c r="CE37" s="172"/>
      <c r="CF37" s="182"/>
      <c r="CG37" s="36"/>
      <c r="CH37" s="11"/>
      <c r="CI37" s="23"/>
      <c r="CJ37" s="23"/>
      <c r="CK37" s="37"/>
    </row>
    <row r="38" spans="4:89" ht="12.75" customHeight="1" thickBot="1" x14ac:dyDescent="0.25">
      <c r="O38" s="36">
        <v>23</v>
      </c>
      <c r="P38" s="341" t="s">
        <v>244</v>
      </c>
      <c r="Q38" s="344">
        <f>VLOOKUP(P38,Apoio!C:E,2,0)</f>
        <v>205555.4</v>
      </c>
      <c r="R38" s="343">
        <v>220000</v>
      </c>
      <c r="S38" s="206">
        <v>5</v>
      </c>
      <c r="T38" s="41"/>
      <c r="U38" s="32"/>
      <c r="V38" s="32"/>
      <c r="W38" s="33"/>
      <c r="Y38" s="41"/>
      <c r="Z38" s="32"/>
      <c r="AA38" s="32"/>
      <c r="AB38" s="33"/>
      <c r="AD38" s="41"/>
      <c r="AE38" s="32"/>
      <c r="AF38" s="32"/>
      <c r="AG38" s="33"/>
      <c r="AI38" s="41"/>
      <c r="AJ38" s="32"/>
      <c r="AK38" s="32"/>
      <c r="AL38" s="33"/>
      <c r="AN38" s="41"/>
      <c r="AO38" s="32"/>
      <c r="AP38" s="32"/>
      <c r="AQ38" s="33"/>
      <c r="AS38" s="41"/>
      <c r="AT38" s="32"/>
      <c r="AU38" s="32"/>
      <c r="AV38" s="33"/>
      <c r="AX38" s="41"/>
      <c r="AY38" s="32"/>
      <c r="AZ38" s="32"/>
      <c r="BA38" s="33"/>
      <c r="BC38" s="41"/>
      <c r="BD38" s="32"/>
      <c r="BE38" s="32"/>
      <c r="BF38" s="33"/>
      <c r="BH38" s="41"/>
      <c r="BI38" s="32"/>
      <c r="BJ38" s="32"/>
      <c r="BK38" s="33"/>
      <c r="BM38" s="41"/>
      <c r="BN38" s="32"/>
      <c r="BO38" s="32"/>
      <c r="BP38" s="33"/>
      <c r="BR38" s="41"/>
      <c r="BS38" s="32"/>
      <c r="BT38" s="32"/>
      <c r="BU38" s="33"/>
      <c r="BW38" s="41"/>
      <c r="BX38" s="32"/>
      <c r="BY38" s="32"/>
      <c r="BZ38" s="33"/>
      <c r="CB38" s="41"/>
      <c r="CC38" s="32"/>
      <c r="CD38" s="32"/>
      <c r="CE38" s="33"/>
      <c r="CG38" s="41"/>
      <c r="CH38" s="32"/>
      <c r="CI38" s="32"/>
      <c r="CJ38" s="33"/>
    </row>
    <row r="39" spans="4:89" ht="12.75" customHeight="1" thickBot="1" x14ac:dyDescent="0.25">
      <c r="O39" s="38">
        <v>24</v>
      </c>
      <c r="P39" s="341" t="s">
        <v>245</v>
      </c>
      <c r="Q39" s="344">
        <f>VLOOKUP(P39,Apoio!C:E,2,0)</f>
        <v>211506.5</v>
      </c>
      <c r="R39" s="343">
        <v>220000</v>
      </c>
      <c r="S39" s="206">
        <v>5</v>
      </c>
      <c r="T39" s="30"/>
      <c r="U39" s="32"/>
      <c r="V39" s="32"/>
      <c r="W39" s="33"/>
      <c r="Y39" s="30"/>
      <c r="Z39" s="32"/>
      <c r="AA39" s="32"/>
      <c r="AB39" s="33"/>
      <c r="AD39" s="30"/>
      <c r="AE39" s="32"/>
      <c r="AF39" s="32"/>
      <c r="AG39" s="33"/>
      <c r="AI39" s="30"/>
      <c r="AJ39" s="32"/>
      <c r="AK39" s="32"/>
      <c r="AL39" s="33"/>
      <c r="AN39" s="30"/>
      <c r="AO39" s="32"/>
      <c r="AP39" s="32"/>
      <c r="AQ39" s="33"/>
      <c r="AS39" s="30"/>
      <c r="AT39" s="32"/>
      <c r="AU39" s="32"/>
      <c r="AV39" s="33"/>
      <c r="AX39" s="30"/>
      <c r="AY39" s="32"/>
      <c r="AZ39" s="32"/>
      <c r="BA39" s="33"/>
      <c r="BC39" s="30"/>
      <c r="BD39" s="32"/>
      <c r="BE39" s="32"/>
      <c r="BF39" s="33"/>
      <c r="BH39" s="30"/>
      <c r="BI39" s="32"/>
      <c r="BJ39" s="32"/>
      <c r="BK39" s="33"/>
      <c r="BM39" s="30"/>
      <c r="BN39" s="32"/>
      <c r="BO39" s="32"/>
      <c r="BP39" s="33"/>
      <c r="BR39" s="30"/>
      <c r="BS39" s="32"/>
      <c r="BT39" s="32"/>
      <c r="BU39" s="33"/>
      <c r="BW39" s="30"/>
      <c r="BX39" s="32"/>
      <c r="BY39" s="32"/>
      <c r="BZ39" s="33"/>
      <c r="CB39" s="30"/>
      <c r="CC39" s="32"/>
      <c r="CD39" s="32"/>
      <c r="CE39" s="33"/>
      <c r="CG39" s="30"/>
      <c r="CH39" s="32"/>
      <c r="CI39" s="32"/>
      <c r="CJ39" s="33"/>
    </row>
    <row r="40" spans="4:89" ht="12.75" customHeight="1" thickBot="1" x14ac:dyDescent="0.25">
      <c r="O40" s="36">
        <v>25</v>
      </c>
      <c r="P40" s="341" t="s">
        <v>246</v>
      </c>
      <c r="Q40" s="344">
        <f>VLOOKUP(P40,Apoio!C:E,2,0)</f>
        <v>211519.1</v>
      </c>
      <c r="R40" s="343">
        <v>220000</v>
      </c>
      <c r="S40" s="206">
        <v>5</v>
      </c>
      <c r="T40" s="42" t="s">
        <v>12</v>
      </c>
      <c r="U40" s="15"/>
      <c r="V40" s="28"/>
      <c r="W40" s="7"/>
      <c r="Y40" s="42" t="s">
        <v>12</v>
      </c>
      <c r="Z40" s="15"/>
      <c r="AA40" s="28"/>
      <c r="AB40" s="7"/>
      <c r="AD40" s="42" t="s">
        <v>12</v>
      </c>
      <c r="AE40" s="15" t="s">
        <v>53</v>
      </c>
      <c r="AF40" s="28" t="s">
        <v>10</v>
      </c>
      <c r="AG40" s="7" t="s">
        <v>11</v>
      </c>
      <c r="AI40" s="42" t="s">
        <v>12</v>
      </c>
      <c r="AJ40" s="15" t="s">
        <v>53</v>
      </c>
      <c r="AK40" s="28" t="s">
        <v>10</v>
      </c>
      <c r="AL40" s="7" t="s">
        <v>11</v>
      </c>
      <c r="AN40" s="42" t="s">
        <v>12</v>
      </c>
      <c r="AO40" s="15" t="s">
        <v>53</v>
      </c>
      <c r="AP40" s="28" t="s">
        <v>10</v>
      </c>
      <c r="AQ40" s="7" t="s">
        <v>11</v>
      </c>
      <c r="AS40" s="42" t="s">
        <v>12</v>
      </c>
      <c r="AT40" s="15" t="s">
        <v>53</v>
      </c>
      <c r="AU40" s="28" t="s">
        <v>10</v>
      </c>
      <c r="AV40" s="7" t="s">
        <v>11</v>
      </c>
      <c r="AX40" s="42" t="s">
        <v>12</v>
      </c>
      <c r="AY40" s="15" t="s">
        <v>53</v>
      </c>
      <c r="AZ40" s="28" t="s">
        <v>10</v>
      </c>
      <c r="BA40" s="7" t="s">
        <v>11</v>
      </c>
      <c r="BC40" s="42" t="s">
        <v>12</v>
      </c>
      <c r="BD40" s="15" t="s">
        <v>53</v>
      </c>
      <c r="BE40" s="28" t="s">
        <v>10</v>
      </c>
      <c r="BF40" s="7" t="s">
        <v>11</v>
      </c>
      <c r="BH40" s="42" t="s">
        <v>12</v>
      </c>
      <c r="BI40" s="15" t="s">
        <v>53</v>
      </c>
      <c r="BJ40" s="28" t="s">
        <v>10</v>
      </c>
      <c r="BK40" s="7" t="s">
        <v>11</v>
      </c>
      <c r="BM40" s="42" t="s">
        <v>12</v>
      </c>
      <c r="BN40" s="15" t="s">
        <v>53</v>
      </c>
      <c r="BO40" s="28" t="s">
        <v>10</v>
      </c>
      <c r="BP40" s="7" t="s">
        <v>11</v>
      </c>
      <c r="BR40" s="42" t="s">
        <v>12</v>
      </c>
      <c r="BS40" s="15" t="s">
        <v>53</v>
      </c>
      <c r="BT40" s="28" t="s">
        <v>10</v>
      </c>
      <c r="BU40" s="7" t="s">
        <v>11</v>
      </c>
      <c r="BW40" s="42" t="s">
        <v>12</v>
      </c>
      <c r="BX40" s="15" t="s">
        <v>53</v>
      </c>
      <c r="BY40" s="28" t="s">
        <v>10</v>
      </c>
      <c r="BZ40" s="7" t="s">
        <v>11</v>
      </c>
      <c r="CB40" s="42" t="s">
        <v>12</v>
      </c>
      <c r="CC40" s="15" t="s">
        <v>53</v>
      </c>
      <c r="CD40" s="28" t="s">
        <v>10</v>
      </c>
      <c r="CE40" s="7" t="s">
        <v>11</v>
      </c>
      <c r="CG40" s="42"/>
      <c r="CH40" s="15"/>
      <c r="CI40" s="28"/>
      <c r="CJ40" s="7"/>
    </row>
    <row r="41" spans="4:89" ht="12.75" customHeight="1" thickBot="1" x14ac:dyDescent="0.25">
      <c r="O41" s="38">
        <v>26</v>
      </c>
      <c r="P41" s="341" t="s">
        <v>247</v>
      </c>
      <c r="Q41" s="344">
        <f>VLOOKUP(P41,Apoio!C:E,2,0)</f>
        <v>211519.1</v>
      </c>
      <c r="R41" s="343">
        <v>220000</v>
      </c>
      <c r="S41" s="206">
        <v>5</v>
      </c>
      <c r="T41" s="44"/>
      <c r="U41" s="10"/>
      <c r="V41" s="3"/>
      <c r="W41" s="22"/>
      <c r="Y41" s="44"/>
      <c r="Z41" s="10"/>
      <c r="AA41" s="3"/>
      <c r="AB41" s="22"/>
      <c r="AD41" s="44"/>
      <c r="AE41" s="10"/>
      <c r="AF41" s="3"/>
      <c r="AG41" s="22"/>
      <c r="AI41" s="44"/>
      <c r="AJ41" s="10"/>
      <c r="AK41" s="3"/>
      <c r="AL41" s="22"/>
      <c r="AN41" s="44"/>
      <c r="AO41" s="10"/>
      <c r="AP41" s="3"/>
      <c r="AQ41" s="22"/>
      <c r="AS41" s="44"/>
      <c r="AT41" s="10"/>
      <c r="AU41" s="3"/>
      <c r="AV41" s="22"/>
      <c r="AX41" s="44"/>
      <c r="AY41" s="10"/>
      <c r="AZ41" s="3"/>
      <c r="BA41" s="22"/>
      <c r="BC41" s="44"/>
      <c r="BD41" s="10"/>
      <c r="BE41" s="3"/>
      <c r="BF41" s="22"/>
      <c r="BH41" s="44"/>
      <c r="BI41" s="10"/>
      <c r="BJ41" s="3"/>
      <c r="BK41" s="22"/>
      <c r="BM41" s="44"/>
      <c r="BN41" s="10"/>
      <c r="BO41" s="3"/>
      <c r="BP41" s="22"/>
      <c r="BR41" s="44"/>
      <c r="BS41" s="10"/>
      <c r="BT41" s="3"/>
      <c r="BU41" s="22"/>
      <c r="BW41" s="44"/>
      <c r="BX41" s="10"/>
      <c r="BY41" s="3"/>
      <c r="BZ41" s="22"/>
      <c r="CB41" s="44"/>
      <c r="CC41" s="10"/>
      <c r="CD41" s="3"/>
      <c r="CE41" s="22"/>
      <c r="CG41" s="44"/>
      <c r="CH41" s="10"/>
      <c r="CI41" s="3"/>
      <c r="CJ41" s="22"/>
    </row>
    <row r="42" spans="4:89" ht="12.75" customHeight="1" thickBot="1" x14ac:dyDescent="0.25">
      <c r="O42" s="36">
        <v>27</v>
      </c>
      <c r="P42" s="341" t="s">
        <v>248</v>
      </c>
      <c r="Q42" s="344">
        <f>VLOOKUP(P42,Apoio!C:E,2,0)</f>
        <v>209102.1</v>
      </c>
      <c r="R42" s="343">
        <v>220000</v>
      </c>
      <c r="S42" s="206">
        <v>5</v>
      </c>
      <c r="T42" s="45">
        <v>1</v>
      </c>
      <c r="U42" s="26"/>
      <c r="V42" s="8"/>
      <c r="W42" s="56"/>
      <c r="Y42" s="45">
        <v>1</v>
      </c>
      <c r="Z42" s="26"/>
      <c r="AA42" s="8"/>
      <c r="AB42" s="56"/>
      <c r="AD42" s="45">
        <v>1</v>
      </c>
      <c r="AE42" s="26">
        <v>39965</v>
      </c>
      <c r="AF42" s="8">
        <v>0</v>
      </c>
      <c r="AG42" s="56" t="e">
        <f>IF(AD42&lt;'DADOS DOS EMPREENDIMENTOS'!AF$11,0,IF(AD42='DADOS DOS EMPREENDIMENTOS'!AF$11,SUM(AF$41:AF42)*(1-'DADOS DOS EMPREENDIMENTOS'!#REF!-'DADOS DOS EMPREENDIMENTOS'!#REF!)+'DADOS DOS EMPREENDIMENTOS'!#REF!,IF(AD42='DADOS DOS EMPREENDIMENTOS'!#REF!,'DADOS DOS EMPREENDIMENTOS'!#REF!,AF42*(1-'DADOS DOS EMPREENDIMENTOS'!#REF!-'DADOS DOS EMPREENDIMENTOS'!#REF!))))</f>
        <v>#REF!</v>
      </c>
      <c r="AI42" s="45">
        <v>1</v>
      </c>
      <c r="AJ42" s="26">
        <v>39965</v>
      </c>
      <c r="AK42" s="8">
        <v>0</v>
      </c>
      <c r="AL42" s="56" t="e">
        <f>IF(AI42&lt;'DADOS DOS EMPREENDIMENTOS'!AK$11,0,IF(AI42='DADOS DOS EMPREENDIMENTOS'!AK$11,SUM(AK$41:AK42)*(1-'DADOS DOS EMPREENDIMENTOS'!#REF!-'DADOS DOS EMPREENDIMENTOS'!#REF!)+'DADOS DOS EMPREENDIMENTOS'!#REF!,IF(AI42='DADOS DOS EMPREENDIMENTOS'!#REF!,'DADOS DOS EMPREENDIMENTOS'!#REF!,AK42*(1-'DADOS DOS EMPREENDIMENTOS'!#REF!-'DADOS DOS EMPREENDIMENTOS'!#REF!))))</f>
        <v>#REF!</v>
      </c>
      <c r="AN42" s="45">
        <v>1</v>
      </c>
      <c r="AO42" s="26">
        <v>39965</v>
      </c>
      <c r="AP42" s="8">
        <v>0</v>
      </c>
      <c r="AQ42" s="56" t="e">
        <f>IF(AN42&lt;'DADOS DOS EMPREENDIMENTOS'!AP$11,0,IF(AN42='DADOS DOS EMPREENDIMENTOS'!AP$11,SUM(AP$41:AP42)*(1-'DADOS DOS EMPREENDIMENTOS'!#REF!-'DADOS DOS EMPREENDIMENTOS'!#REF!)+'DADOS DOS EMPREENDIMENTOS'!#REF!,IF(AN42='DADOS DOS EMPREENDIMENTOS'!#REF!,'DADOS DOS EMPREENDIMENTOS'!#REF!,AP42*(1-'DADOS DOS EMPREENDIMENTOS'!#REF!-'DADOS DOS EMPREENDIMENTOS'!#REF!))))</f>
        <v>#REF!</v>
      </c>
      <c r="AS42" s="45">
        <v>1</v>
      </c>
      <c r="AT42" s="26">
        <v>39965</v>
      </c>
      <c r="AU42" s="8">
        <v>0</v>
      </c>
      <c r="AV42" s="56" t="e">
        <f>IF(AS42&lt;'DADOS DOS EMPREENDIMENTOS'!AU$11,0,IF(AS42='DADOS DOS EMPREENDIMENTOS'!AU$11,SUM(AU$41:AU42)*(1-'DADOS DOS EMPREENDIMENTOS'!#REF!-'DADOS DOS EMPREENDIMENTOS'!#REF!)+'DADOS DOS EMPREENDIMENTOS'!#REF!,IF(AS42='DADOS DOS EMPREENDIMENTOS'!#REF!,'DADOS DOS EMPREENDIMENTOS'!#REF!,AU42*(1-'DADOS DOS EMPREENDIMENTOS'!#REF!-'DADOS DOS EMPREENDIMENTOS'!#REF!))))</f>
        <v>#REF!</v>
      </c>
      <c r="AX42" s="45">
        <v>1</v>
      </c>
      <c r="AY42" s="26">
        <v>39965</v>
      </c>
      <c r="AZ42" s="8">
        <v>0</v>
      </c>
      <c r="BA42" s="56" t="e">
        <f>IF(AX42&lt;'DADOS DOS EMPREENDIMENTOS'!AZ$11,0,IF(AX42='DADOS DOS EMPREENDIMENTOS'!AZ$11,SUM(AZ$41:AZ42)*(1-'DADOS DOS EMPREENDIMENTOS'!#REF!-'DADOS DOS EMPREENDIMENTOS'!#REF!)+'DADOS DOS EMPREENDIMENTOS'!#REF!,IF(AX42='DADOS DOS EMPREENDIMENTOS'!#REF!,'DADOS DOS EMPREENDIMENTOS'!#REF!,AZ42*(1-'DADOS DOS EMPREENDIMENTOS'!#REF!-'DADOS DOS EMPREENDIMENTOS'!#REF!))))</f>
        <v>#REF!</v>
      </c>
      <c r="BC42" s="45">
        <v>1</v>
      </c>
      <c r="BD42" s="26">
        <v>39965</v>
      </c>
      <c r="BE42" s="8">
        <v>0</v>
      </c>
      <c r="BF42" s="56" t="e">
        <f>IF(BC42&lt;'DADOS DOS EMPREENDIMENTOS'!BE$11,0,IF(BC42='DADOS DOS EMPREENDIMENTOS'!BE$11,SUM(BE$41:BE42)*(1-'DADOS DOS EMPREENDIMENTOS'!#REF!-'DADOS DOS EMPREENDIMENTOS'!#REF!)+'DADOS DOS EMPREENDIMENTOS'!#REF!,IF(BC42='DADOS DOS EMPREENDIMENTOS'!#REF!,'DADOS DOS EMPREENDIMENTOS'!#REF!,BE42*(1-'DADOS DOS EMPREENDIMENTOS'!#REF!-'DADOS DOS EMPREENDIMENTOS'!#REF!))))</f>
        <v>#REF!</v>
      </c>
      <c r="BH42" s="45">
        <v>1</v>
      </c>
      <c r="BI42" s="26">
        <v>39965</v>
      </c>
      <c r="BJ42" s="8">
        <v>0</v>
      </c>
      <c r="BK42" s="56" t="e">
        <f>IF(BH42&lt;'DADOS DOS EMPREENDIMENTOS'!BJ$11,0,IF(BH42='DADOS DOS EMPREENDIMENTOS'!BJ$11,SUM(BJ$41:BJ42)*(1-'DADOS DOS EMPREENDIMENTOS'!#REF!-'DADOS DOS EMPREENDIMENTOS'!#REF!)+'DADOS DOS EMPREENDIMENTOS'!#REF!,IF(BH42='DADOS DOS EMPREENDIMENTOS'!#REF!,'DADOS DOS EMPREENDIMENTOS'!#REF!,BJ42*(1-'DADOS DOS EMPREENDIMENTOS'!#REF!-'DADOS DOS EMPREENDIMENTOS'!#REF!))))</f>
        <v>#REF!</v>
      </c>
      <c r="BM42" s="45">
        <v>1</v>
      </c>
      <c r="BN42" s="26">
        <v>39965</v>
      </c>
      <c r="BO42" s="8">
        <v>0</v>
      </c>
      <c r="BP42" s="56" t="e">
        <f>IF(BM42&lt;'DADOS DOS EMPREENDIMENTOS'!BO$11,0,IF(BM42='DADOS DOS EMPREENDIMENTOS'!BO$11,SUM(BO$41:BO42)*(1-'DADOS DOS EMPREENDIMENTOS'!#REF!-'DADOS DOS EMPREENDIMENTOS'!#REF!)+'DADOS DOS EMPREENDIMENTOS'!#REF!,IF(BM42='DADOS DOS EMPREENDIMENTOS'!BO$12,'DADOS DOS EMPREENDIMENTOS'!#REF!,BO42*(1-'DADOS DOS EMPREENDIMENTOS'!#REF!-'DADOS DOS EMPREENDIMENTOS'!#REF!))))</f>
        <v>#REF!</v>
      </c>
      <c r="BR42" s="45">
        <v>1</v>
      </c>
      <c r="BS42" s="26">
        <v>39965</v>
      </c>
      <c r="BT42" s="8">
        <v>0</v>
      </c>
      <c r="BU42" s="56" t="e">
        <f>IF(BR42&lt;'DADOS DOS EMPREENDIMENTOS'!BT$11,0,IF(BR42='DADOS DOS EMPREENDIMENTOS'!BT$11,SUM(BT$41:BT42)*(1-'DADOS DOS EMPREENDIMENTOS'!#REF!-'DADOS DOS EMPREENDIMENTOS'!#REF!)+'DADOS DOS EMPREENDIMENTOS'!#REF!,IF(BR42='DADOS DOS EMPREENDIMENTOS'!BT$12,'DADOS DOS EMPREENDIMENTOS'!#REF!,BT42*(1-'DADOS DOS EMPREENDIMENTOS'!#REF!-'DADOS DOS EMPREENDIMENTOS'!#REF!))))</f>
        <v>#REF!</v>
      </c>
      <c r="BW42" s="45">
        <v>1</v>
      </c>
      <c r="BX42" s="26">
        <v>39965</v>
      </c>
      <c r="BY42" s="8">
        <v>0</v>
      </c>
      <c r="BZ42" s="56" t="e">
        <f>IF(BW42&lt;'DADOS DOS EMPREENDIMENTOS'!BY$11,0,IF(BW42='DADOS DOS EMPREENDIMENTOS'!BY$11,SUM(BY$41:BY42)*(1-'DADOS DOS EMPREENDIMENTOS'!#REF!-'DADOS DOS EMPREENDIMENTOS'!#REF!)+'DADOS DOS EMPREENDIMENTOS'!#REF!,IF(BW42='DADOS DOS EMPREENDIMENTOS'!BY$12,'DADOS DOS EMPREENDIMENTOS'!#REF!,BY42*(1-'DADOS DOS EMPREENDIMENTOS'!#REF!-'DADOS DOS EMPREENDIMENTOS'!#REF!))))</f>
        <v>#REF!</v>
      </c>
      <c r="CB42" s="45">
        <v>1</v>
      </c>
      <c r="CC42" s="26">
        <v>39965</v>
      </c>
      <c r="CD42" s="8">
        <v>0</v>
      </c>
      <c r="CE42" s="56" t="e">
        <f>IF(CB42&lt;'DADOS DOS EMPREENDIMENTOS'!CD$11,0,IF(CB42='DADOS DOS EMPREENDIMENTOS'!CD$11,SUM(CD$41:CD42)*(1-'DADOS DOS EMPREENDIMENTOS'!#REF!-'DADOS DOS EMPREENDIMENTOS'!#REF!)+'DADOS DOS EMPREENDIMENTOS'!#REF!,IF(CB42='DADOS DOS EMPREENDIMENTOS'!CD$12,'DADOS DOS EMPREENDIMENTOS'!#REF!,CD42*(1-'DADOS DOS EMPREENDIMENTOS'!#REF!-'DADOS DOS EMPREENDIMENTOS'!#REF!))))</f>
        <v>#REF!</v>
      </c>
      <c r="CG42" s="45"/>
      <c r="CH42" s="26"/>
      <c r="CI42" s="8"/>
      <c r="CJ42" s="56"/>
    </row>
    <row r="43" spans="4:89" ht="12.75" customHeight="1" thickBot="1" x14ac:dyDescent="0.25">
      <c r="O43" s="38">
        <v>28</v>
      </c>
      <c r="P43" s="341" t="s">
        <v>249</v>
      </c>
      <c r="Q43" s="344">
        <f>VLOOKUP(P43,Apoio!C:E,2,0)</f>
        <v>209604.3</v>
      </c>
      <c r="R43" s="343">
        <v>220000</v>
      </c>
      <c r="S43" s="206">
        <v>5</v>
      </c>
      <c r="T43" s="45">
        <v>2</v>
      </c>
      <c r="U43" s="26"/>
      <c r="V43" s="8"/>
      <c r="W43" s="56"/>
      <c r="Y43" s="45">
        <v>2</v>
      </c>
      <c r="Z43" s="26"/>
      <c r="AA43" s="8"/>
      <c r="AB43" s="56"/>
      <c r="AD43" s="45">
        <v>2</v>
      </c>
      <c r="AE43" s="26">
        <v>39995</v>
      </c>
      <c r="AF43" s="8">
        <v>0</v>
      </c>
      <c r="AG43" s="56" t="e">
        <f>IF(AD43&lt;'DADOS DOS EMPREENDIMENTOS'!AF$11,0,IF(AD43='DADOS DOS EMPREENDIMENTOS'!AF$11,SUM(AF$41:AF43)*(1-'DADOS DOS EMPREENDIMENTOS'!#REF!-'DADOS DOS EMPREENDIMENTOS'!#REF!)+'DADOS DOS EMPREENDIMENTOS'!#REF!,IF(AD43='DADOS DOS EMPREENDIMENTOS'!#REF!,'DADOS DOS EMPREENDIMENTOS'!#REF!,AF43*(1-'DADOS DOS EMPREENDIMENTOS'!#REF!-'DADOS DOS EMPREENDIMENTOS'!#REF!))))</f>
        <v>#REF!</v>
      </c>
      <c r="AI43" s="45">
        <v>2</v>
      </c>
      <c r="AJ43" s="26">
        <v>39995</v>
      </c>
      <c r="AK43" s="8">
        <v>0</v>
      </c>
      <c r="AL43" s="56" t="e">
        <f>IF(AI43&lt;'DADOS DOS EMPREENDIMENTOS'!AK$11,0,IF(AI43='DADOS DOS EMPREENDIMENTOS'!AK$11,SUM(AK$41:AK43)*(1-'DADOS DOS EMPREENDIMENTOS'!#REF!-'DADOS DOS EMPREENDIMENTOS'!#REF!)+'DADOS DOS EMPREENDIMENTOS'!#REF!,IF(AI43='DADOS DOS EMPREENDIMENTOS'!#REF!,'DADOS DOS EMPREENDIMENTOS'!#REF!,AK43*(1-'DADOS DOS EMPREENDIMENTOS'!#REF!-'DADOS DOS EMPREENDIMENTOS'!#REF!))))</f>
        <v>#REF!</v>
      </c>
      <c r="AN43" s="45">
        <v>2</v>
      </c>
      <c r="AO43" s="26">
        <v>39995</v>
      </c>
      <c r="AP43" s="8">
        <v>0</v>
      </c>
      <c r="AQ43" s="56" t="e">
        <f>IF(AN43&lt;'DADOS DOS EMPREENDIMENTOS'!AP$11,0,IF(AN43='DADOS DOS EMPREENDIMENTOS'!AP$11,SUM(AP$41:AP43)*(1-'DADOS DOS EMPREENDIMENTOS'!#REF!-'DADOS DOS EMPREENDIMENTOS'!#REF!)+'DADOS DOS EMPREENDIMENTOS'!#REF!,IF(AN43='DADOS DOS EMPREENDIMENTOS'!#REF!,'DADOS DOS EMPREENDIMENTOS'!#REF!,AP43*(1-'DADOS DOS EMPREENDIMENTOS'!#REF!-'DADOS DOS EMPREENDIMENTOS'!#REF!))))</f>
        <v>#REF!</v>
      </c>
      <c r="AS43" s="45">
        <v>2</v>
      </c>
      <c r="AT43" s="26">
        <v>39995</v>
      </c>
      <c r="AU43" s="8">
        <v>0</v>
      </c>
      <c r="AV43" s="56" t="e">
        <f>IF(AS43&lt;'DADOS DOS EMPREENDIMENTOS'!AU$11,0,IF(AS43='DADOS DOS EMPREENDIMENTOS'!AU$11,SUM(AU$41:AU43)*(1-'DADOS DOS EMPREENDIMENTOS'!#REF!-'DADOS DOS EMPREENDIMENTOS'!#REF!)+'DADOS DOS EMPREENDIMENTOS'!#REF!,IF(AS43='DADOS DOS EMPREENDIMENTOS'!#REF!,'DADOS DOS EMPREENDIMENTOS'!#REF!,AU43*(1-'DADOS DOS EMPREENDIMENTOS'!#REF!-'DADOS DOS EMPREENDIMENTOS'!#REF!))))</f>
        <v>#REF!</v>
      </c>
      <c r="AX43" s="45">
        <v>2</v>
      </c>
      <c r="AY43" s="26">
        <v>39995</v>
      </c>
      <c r="AZ43" s="8">
        <v>0</v>
      </c>
      <c r="BA43" s="56" t="e">
        <f>IF(AX43&lt;'DADOS DOS EMPREENDIMENTOS'!AZ$11,0,IF(AX43='DADOS DOS EMPREENDIMENTOS'!AZ$11,SUM(AZ$41:AZ43)*(1-'DADOS DOS EMPREENDIMENTOS'!#REF!-'DADOS DOS EMPREENDIMENTOS'!#REF!)+'DADOS DOS EMPREENDIMENTOS'!#REF!,IF(AX43='DADOS DOS EMPREENDIMENTOS'!#REF!,'DADOS DOS EMPREENDIMENTOS'!#REF!,AZ43*(1-'DADOS DOS EMPREENDIMENTOS'!#REF!-'DADOS DOS EMPREENDIMENTOS'!#REF!))))</f>
        <v>#REF!</v>
      </c>
      <c r="BC43" s="45">
        <v>2</v>
      </c>
      <c r="BD43" s="26">
        <v>39995</v>
      </c>
      <c r="BE43" s="8">
        <v>0</v>
      </c>
      <c r="BF43" s="56" t="e">
        <f>IF(BC43&lt;'DADOS DOS EMPREENDIMENTOS'!BE$11,0,IF(BC43='DADOS DOS EMPREENDIMENTOS'!BE$11,SUM(BE$41:BE43)*(1-'DADOS DOS EMPREENDIMENTOS'!#REF!-'DADOS DOS EMPREENDIMENTOS'!#REF!)+'DADOS DOS EMPREENDIMENTOS'!#REF!,IF(BC43='DADOS DOS EMPREENDIMENTOS'!#REF!,'DADOS DOS EMPREENDIMENTOS'!#REF!,BE43*(1-'DADOS DOS EMPREENDIMENTOS'!#REF!-'DADOS DOS EMPREENDIMENTOS'!#REF!))))</f>
        <v>#REF!</v>
      </c>
      <c r="BH43" s="45">
        <v>2</v>
      </c>
      <c r="BI43" s="26">
        <v>39995</v>
      </c>
      <c r="BJ43" s="8">
        <v>0</v>
      </c>
      <c r="BK43" s="56" t="e">
        <f>IF(BH43&lt;'DADOS DOS EMPREENDIMENTOS'!BJ$11,0,IF(BH43='DADOS DOS EMPREENDIMENTOS'!BJ$11,SUM(BJ$41:BJ43)*(1-'DADOS DOS EMPREENDIMENTOS'!#REF!-'DADOS DOS EMPREENDIMENTOS'!#REF!)+'DADOS DOS EMPREENDIMENTOS'!#REF!,IF(BH43='DADOS DOS EMPREENDIMENTOS'!#REF!,'DADOS DOS EMPREENDIMENTOS'!#REF!,BJ43*(1-'DADOS DOS EMPREENDIMENTOS'!#REF!-'DADOS DOS EMPREENDIMENTOS'!#REF!))))</f>
        <v>#REF!</v>
      </c>
      <c r="BM43" s="45">
        <v>2</v>
      </c>
      <c r="BN43" s="26">
        <v>39995</v>
      </c>
      <c r="BO43" s="8">
        <v>0</v>
      </c>
      <c r="BP43" s="56" t="e">
        <f>IF(BM43&lt;'DADOS DOS EMPREENDIMENTOS'!BO$11,0,IF(BM43='DADOS DOS EMPREENDIMENTOS'!BO$11,SUM(BO$41:BO43)*(1-'DADOS DOS EMPREENDIMENTOS'!#REF!-'DADOS DOS EMPREENDIMENTOS'!#REF!)+'DADOS DOS EMPREENDIMENTOS'!#REF!,IF(BM43='DADOS DOS EMPREENDIMENTOS'!BO$12,'DADOS DOS EMPREENDIMENTOS'!#REF!,BO43*(1-'DADOS DOS EMPREENDIMENTOS'!#REF!-'DADOS DOS EMPREENDIMENTOS'!#REF!))))</f>
        <v>#REF!</v>
      </c>
      <c r="BR43" s="45">
        <v>2</v>
      </c>
      <c r="BS43" s="26">
        <v>39995</v>
      </c>
      <c r="BT43" s="8">
        <v>0</v>
      </c>
      <c r="BU43" s="56" t="e">
        <f>IF(BR43&lt;'DADOS DOS EMPREENDIMENTOS'!BT$11,0,IF(BR43='DADOS DOS EMPREENDIMENTOS'!BT$11,SUM(BT$41:BT43)*(1-'DADOS DOS EMPREENDIMENTOS'!#REF!-'DADOS DOS EMPREENDIMENTOS'!#REF!)+'DADOS DOS EMPREENDIMENTOS'!#REF!,IF(BR43='DADOS DOS EMPREENDIMENTOS'!BT$12,'DADOS DOS EMPREENDIMENTOS'!#REF!,BT43*(1-'DADOS DOS EMPREENDIMENTOS'!#REF!-'DADOS DOS EMPREENDIMENTOS'!#REF!))))</f>
        <v>#REF!</v>
      </c>
      <c r="BW43" s="45">
        <v>2</v>
      </c>
      <c r="BX43" s="26">
        <v>39995</v>
      </c>
      <c r="BY43" s="8">
        <v>0</v>
      </c>
      <c r="BZ43" s="56" t="e">
        <f>IF(BW43&lt;'DADOS DOS EMPREENDIMENTOS'!BY$11,0,IF(BW43='DADOS DOS EMPREENDIMENTOS'!BY$11,SUM(BY$41:BY43)*(1-'DADOS DOS EMPREENDIMENTOS'!#REF!-'DADOS DOS EMPREENDIMENTOS'!#REF!)+'DADOS DOS EMPREENDIMENTOS'!#REF!,IF(BW43='DADOS DOS EMPREENDIMENTOS'!BY$12,'DADOS DOS EMPREENDIMENTOS'!#REF!,BY43*(1-'DADOS DOS EMPREENDIMENTOS'!#REF!-'DADOS DOS EMPREENDIMENTOS'!#REF!))))</f>
        <v>#REF!</v>
      </c>
      <c r="CB43" s="45">
        <v>2</v>
      </c>
      <c r="CC43" s="26">
        <v>39995</v>
      </c>
      <c r="CD43" s="8">
        <v>0</v>
      </c>
      <c r="CE43" s="56" t="e">
        <f>IF(CB43&lt;'DADOS DOS EMPREENDIMENTOS'!CD$11,0,IF(CB43='DADOS DOS EMPREENDIMENTOS'!CD$11,SUM(CD$41:CD43)*(1-'DADOS DOS EMPREENDIMENTOS'!#REF!-'DADOS DOS EMPREENDIMENTOS'!#REF!)+'DADOS DOS EMPREENDIMENTOS'!#REF!,IF(CB43='DADOS DOS EMPREENDIMENTOS'!CD$12,'DADOS DOS EMPREENDIMENTOS'!#REF!,CD43*(1-'DADOS DOS EMPREENDIMENTOS'!#REF!-'DADOS DOS EMPREENDIMENTOS'!#REF!))))</f>
        <v>#REF!</v>
      </c>
      <c r="CG43" s="45"/>
      <c r="CH43" s="26"/>
      <c r="CI43" s="8"/>
      <c r="CJ43" s="56"/>
    </row>
    <row r="44" spans="4:89" ht="12.75" customHeight="1" thickBot="1" x14ac:dyDescent="0.25">
      <c r="O44" s="36">
        <v>29</v>
      </c>
      <c r="P44" s="341" t="s">
        <v>250</v>
      </c>
      <c r="Q44" s="344">
        <f>VLOOKUP(P44,Apoio!C:E,2,0)</f>
        <v>209604.3</v>
      </c>
      <c r="R44" s="343">
        <v>220000</v>
      </c>
      <c r="S44" s="206">
        <v>5</v>
      </c>
      <c r="T44" s="45">
        <v>3</v>
      </c>
      <c r="U44" s="26"/>
      <c r="V44" s="8"/>
      <c r="W44" s="56"/>
      <c r="Y44" s="45">
        <v>3</v>
      </c>
      <c r="Z44" s="26"/>
      <c r="AA44" s="8"/>
      <c r="AB44" s="56"/>
      <c r="AD44" s="45">
        <v>3</v>
      </c>
      <c r="AE44" s="26">
        <v>40026</v>
      </c>
      <c r="AF44" s="8">
        <v>0</v>
      </c>
      <c r="AG44" s="56" t="e">
        <f>IF(AD44&lt;'DADOS DOS EMPREENDIMENTOS'!AF$11,0,IF(AD44='DADOS DOS EMPREENDIMENTOS'!AF$11,SUM(AF$41:AF44)*(1-'DADOS DOS EMPREENDIMENTOS'!#REF!-'DADOS DOS EMPREENDIMENTOS'!#REF!)+'DADOS DOS EMPREENDIMENTOS'!#REF!,IF(AD44='DADOS DOS EMPREENDIMENTOS'!#REF!,'DADOS DOS EMPREENDIMENTOS'!#REF!,AF44*(1-'DADOS DOS EMPREENDIMENTOS'!#REF!-'DADOS DOS EMPREENDIMENTOS'!#REF!))))</f>
        <v>#REF!</v>
      </c>
      <c r="AI44" s="45">
        <v>3</v>
      </c>
      <c r="AJ44" s="26">
        <v>40026</v>
      </c>
      <c r="AK44" s="8">
        <v>0</v>
      </c>
      <c r="AL44" s="56" t="e">
        <f>IF(AI44&lt;'DADOS DOS EMPREENDIMENTOS'!AK$11,0,IF(AI44='DADOS DOS EMPREENDIMENTOS'!AK$11,SUM(AK$41:AK44)*(1-'DADOS DOS EMPREENDIMENTOS'!#REF!-'DADOS DOS EMPREENDIMENTOS'!#REF!)+'DADOS DOS EMPREENDIMENTOS'!#REF!,IF(AI44='DADOS DOS EMPREENDIMENTOS'!#REF!,'DADOS DOS EMPREENDIMENTOS'!#REF!,AK44*(1-'DADOS DOS EMPREENDIMENTOS'!#REF!-'DADOS DOS EMPREENDIMENTOS'!#REF!))))</f>
        <v>#REF!</v>
      </c>
      <c r="AN44" s="45">
        <v>3</v>
      </c>
      <c r="AO44" s="26">
        <v>40026</v>
      </c>
      <c r="AP44" s="8">
        <v>0</v>
      </c>
      <c r="AQ44" s="56" t="e">
        <f>IF(AN44&lt;'DADOS DOS EMPREENDIMENTOS'!AP$11,0,IF(AN44='DADOS DOS EMPREENDIMENTOS'!AP$11,SUM(AP$41:AP44)*(1-'DADOS DOS EMPREENDIMENTOS'!#REF!-'DADOS DOS EMPREENDIMENTOS'!#REF!)+'DADOS DOS EMPREENDIMENTOS'!#REF!,IF(AN44='DADOS DOS EMPREENDIMENTOS'!#REF!,'DADOS DOS EMPREENDIMENTOS'!#REF!,AP44*(1-'DADOS DOS EMPREENDIMENTOS'!#REF!-'DADOS DOS EMPREENDIMENTOS'!#REF!))))</f>
        <v>#REF!</v>
      </c>
      <c r="AS44" s="45">
        <v>3</v>
      </c>
      <c r="AT44" s="26">
        <v>40026</v>
      </c>
      <c r="AU44" s="8">
        <v>0</v>
      </c>
      <c r="AV44" s="56" t="e">
        <f>IF(AS44&lt;'DADOS DOS EMPREENDIMENTOS'!AU$11,0,IF(AS44='DADOS DOS EMPREENDIMENTOS'!AU$11,SUM(AU$41:AU44)*(1-'DADOS DOS EMPREENDIMENTOS'!#REF!-'DADOS DOS EMPREENDIMENTOS'!#REF!)+'DADOS DOS EMPREENDIMENTOS'!#REF!,IF(AS44='DADOS DOS EMPREENDIMENTOS'!#REF!,'DADOS DOS EMPREENDIMENTOS'!#REF!,AU44*(1-'DADOS DOS EMPREENDIMENTOS'!#REF!-'DADOS DOS EMPREENDIMENTOS'!#REF!))))</f>
        <v>#REF!</v>
      </c>
      <c r="AX44" s="45">
        <v>3</v>
      </c>
      <c r="AY44" s="26">
        <v>40026</v>
      </c>
      <c r="AZ44" s="8">
        <v>0</v>
      </c>
      <c r="BA44" s="56" t="e">
        <f>IF(AX44&lt;'DADOS DOS EMPREENDIMENTOS'!AZ$11,0,IF(AX44='DADOS DOS EMPREENDIMENTOS'!AZ$11,SUM(AZ$41:AZ44)*(1-'DADOS DOS EMPREENDIMENTOS'!#REF!-'DADOS DOS EMPREENDIMENTOS'!#REF!)+'DADOS DOS EMPREENDIMENTOS'!#REF!,IF(AX44='DADOS DOS EMPREENDIMENTOS'!#REF!,'DADOS DOS EMPREENDIMENTOS'!#REF!,AZ44*(1-'DADOS DOS EMPREENDIMENTOS'!#REF!-'DADOS DOS EMPREENDIMENTOS'!#REF!))))</f>
        <v>#REF!</v>
      </c>
      <c r="BC44" s="45">
        <v>3</v>
      </c>
      <c r="BD44" s="26">
        <v>40026</v>
      </c>
      <c r="BE44" s="8">
        <v>0</v>
      </c>
      <c r="BF44" s="56" t="e">
        <f>IF(BC44&lt;'DADOS DOS EMPREENDIMENTOS'!BE$11,0,IF(BC44='DADOS DOS EMPREENDIMENTOS'!BE$11,SUM(BE$41:BE44)*(1-'DADOS DOS EMPREENDIMENTOS'!#REF!-'DADOS DOS EMPREENDIMENTOS'!#REF!)+'DADOS DOS EMPREENDIMENTOS'!#REF!,IF(BC44='DADOS DOS EMPREENDIMENTOS'!#REF!,'DADOS DOS EMPREENDIMENTOS'!#REF!,BE44*(1-'DADOS DOS EMPREENDIMENTOS'!#REF!-'DADOS DOS EMPREENDIMENTOS'!#REF!))))</f>
        <v>#REF!</v>
      </c>
      <c r="BH44" s="45">
        <v>3</v>
      </c>
      <c r="BI44" s="26">
        <v>40026</v>
      </c>
      <c r="BJ44" s="8">
        <v>0</v>
      </c>
      <c r="BK44" s="56" t="e">
        <f>IF(BH44&lt;'DADOS DOS EMPREENDIMENTOS'!BJ$11,0,IF(BH44='DADOS DOS EMPREENDIMENTOS'!BJ$11,SUM(BJ$41:BJ44)*(1-'DADOS DOS EMPREENDIMENTOS'!#REF!-'DADOS DOS EMPREENDIMENTOS'!#REF!)+'DADOS DOS EMPREENDIMENTOS'!#REF!,IF(BH44='DADOS DOS EMPREENDIMENTOS'!#REF!,'DADOS DOS EMPREENDIMENTOS'!#REF!,BJ44*(1-'DADOS DOS EMPREENDIMENTOS'!#REF!-'DADOS DOS EMPREENDIMENTOS'!#REF!))))</f>
        <v>#REF!</v>
      </c>
      <c r="BM44" s="45">
        <v>3</v>
      </c>
      <c r="BN44" s="26">
        <v>40026</v>
      </c>
      <c r="BO44" s="8">
        <v>0</v>
      </c>
      <c r="BP44" s="56" t="e">
        <f>IF(BM44&lt;'DADOS DOS EMPREENDIMENTOS'!BO$11,0,IF(BM44='DADOS DOS EMPREENDIMENTOS'!BO$11,SUM(BO$41:BO44)*(1-'DADOS DOS EMPREENDIMENTOS'!#REF!-'DADOS DOS EMPREENDIMENTOS'!#REF!)+'DADOS DOS EMPREENDIMENTOS'!#REF!,IF(BM44='DADOS DOS EMPREENDIMENTOS'!BO$12,'DADOS DOS EMPREENDIMENTOS'!#REF!,BO44*(1-'DADOS DOS EMPREENDIMENTOS'!#REF!-'DADOS DOS EMPREENDIMENTOS'!#REF!))))</f>
        <v>#REF!</v>
      </c>
      <c r="BR44" s="45">
        <v>3</v>
      </c>
      <c r="BS44" s="26">
        <v>40026</v>
      </c>
      <c r="BT44" s="8">
        <v>0</v>
      </c>
      <c r="BU44" s="56" t="e">
        <f>IF(BR44&lt;'DADOS DOS EMPREENDIMENTOS'!BT$11,0,IF(BR44='DADOS DOS EMPREENDIMENTOS'!BT$11,SUM(BT$41:BT44)*(1-'DADOS DOS EMPREENDIMENTOS'!#REF!-'DADOS DOS EMPREENDIMENTOS'!#REF!)+'DADOS DOS EMPREENDIMENTOS'!#REF!,IF(BR44='DADOS DOS EMPREENDIMENTOS'!BT$12,'DADOS DOS EMPREENDIMENTOS'!#REF!,BT44*(1-'DADOS DOS EMPREENDIMENTOS'!#REF!-'DADOS DOS EMPREENDIMENTOS'!#REF!))))</f>
        <v>#REF!</v>
      </c>
      <c r="BW44" s="45">
        <v>3</v>
      </c>
      <c r="BX44" s="26">
        <v>40026</v>
      </c>
      <c r="BY44" s="8">
        <v>0</v>
      </c>
      <c r="BZ44" s="56" t="e">
        <f>IF(BW44&lt;'DADOS DOS EMPREENDIMENTOS'!BY$11,0,IF(BW44='DADOS DOS EMPREENDIMENTOS'!BY$11,SUM(BY$41:BY44)*(1-'DADOS DOS EMPREENDIMENTOS'!#REF!-'DADOS DOS EMPREENDIMENTOS'!#REF!)+'DADOS DOS EMPREENDIMENTOS'!#REF!,IF(BW44='DADOS DOS EMPREENDIMENTOS'!BY$12,'DADOS DOS EMPREENDIMENTOS'!#REF!,BY44*(1-'DADOS DOS EMPREENDIMENTOS'!#REF!-'DADOS DOS EMPREENDIMENTOS'!#REF!))))</f>
        <v>#REF!</v>
      </c>
      <c r="CB44" s="45">
        <v>3</v>
      </c>
      <c r="CC44" s="26">
        <v>40026</v>
      </c>
      <c r="CD44" s="8">
        <v>0</v>
      </c>
      <c r="CE44" s="56" t="e">
        <f>IF(CB44&lt;'DADOS DOS EMPREENDIMENTOS'!CD$11,0,IF(CB44='DADOS DOS EMPREENDIMENTOS'!CD$11,SUM(CD$41:CD44)*(1-'DADOS DOS EMPREENDIMENTOS'!#REF!-'DADOS DOS EMPREENDIMENTOS'!#REF!)+'DADOS DOS EMPREENDIMENTOS'!#REF!,IF(CB44='DADOS DOS EMPREENDIMENTOS'!CD$12,'DADOS DOS EMPREENDIMENTOS'!#REF!,CD44*(1-'DADOS DOS EMPREENDIMENTOS'!#REF!-'DADOS DOS EMPREENDIMENTOS'!#REF!))))</f>
        <v>#REF!</v>
      </c>
      <c r="CG44" s="45"/>
      <c r="CH44" s="26"/>
      <c r="CI44" s="8"/>
      <c r="CJ44" s="56"/>
    </row>
    <row r="45" spans="4:89" ht="12.75" customHeight="1" thickBot="1" x14ac:dyDescent="0.25">
      <c r="O45" s="38">
        <v>30</v>
      </c>
      <c r="P45" s="341" t="s">
        <v>251</v>
      </c>
      <c r="Q45" s="344">
        <f>VLOOKUP(P45,Apoio!C:E,2,0)</f>
        <v>209102.1</v>
      </c>
      <c r="R45" s="343">
        <v>220000</v>
      </c>
      <c r="S45" s="206">
        <v>5</v>
      </c>
      <c r="T45" s="45">
        <v>4</v>
      </c>
      <c r="U45" s="26"/>
      <c r="V45" s="8"/>
      <c r="W45" s="56"/>
      <c r="Y45" s="45">
        <v>4</v>
      </c>
      <c r="Z45" s="26"/>
      <c r="AA45" s="8"/>
      <c r="AB45" s="56"/>
      <c r="AD45" s="45">
        <v>4</v>
      </c>
      <c r="AE45" s="26">
        <v>40057</v>
      </c>
      <c r="AF45" s="8">
        <v>0</v>
      </c>
      <c r="AG45" s="56" t="e">
        <f>IF(AD45&lt;'DADOS DOS EMPREENDIMENTOS'!AF$11,0,IF(AD45='DADOS DOS EMPREENDIMENTOS'!AF$11,SUM(AF$41:AF45)*(1-'DADOS DOS EMPREENDIMENTOS'!#REF!-'DADOS DOS EMPREENDIMENTOS'!#REF!)+'DADOS DOS EMPREENDIMENTOS'!#REF!,IF(AD45='DADOS DOS EMPREENDIMENTOS'!#REF!,'DADOS DOS EMPREENDIMENTOS'!#REF!,AF45*(1-'DADOS DOS EMPREENDIMENTOS'!#REF!-'DADOS DOS EMPREENDIMENTOS'!#REF!))))</f>
        <v>#REF!</v>
      </c>
      <c r="AI45" s="45">
        <v>4</v>
      </c>
      <c r="AJ45" s="26">
        <v>40057</v>
      </c>
      <c r="AK45" s="8">
        <v>0</v>
      </c>
      <c r="AL45" s="56" t="e">
        <f>IF(AI45&lt;'DADOS DOS EMPREENDIMENTOS'!AK$11,0,IF(AI45='DADOS DOS EMPREENDIMENTOS'!AK$11,SUM(AK$41:AK45)*(1-'DADOS DOS EMPREENDIMENTOS'!#REF!-'DADOS DOS EMPREENDIMENTOS'!#REF!)+'DADOS DOS EMPREENDIMENTOS'!#REF!,IF(AI45='DADOS DOS EMPREENDIMENTOS'!#REF!,'DADOS DOS EMPREENDIMENTOS'!#REF!,AK45*(1-'DADOS DOS EMPREENDIMENTOS'!#REF!-'DADOS DOS EMPREENDIMENTOS'!#REF!))))</f>
        <v>#REF!</v>
      </c>
      <c r="AN45" s="45">
        <v>4</v>
      </c>
      <c r="AO45" s="26">
        <v>40057</v>
      </c>
      <c r="AP45" s="8">
        <v>0</v>
      </c>
      <c r="AQ45" s="56" t="e">
        <f>IF(AN45&lt;'DADOS DOS EMPREENDIMENTOS'!AP$11,0,IF(AN45='DADOS DOS EMPREENDIMENTOS'!AP$11,SUM(AP$41:AP45)*(1-'DADOS DOS EMPREENDIMENTOS'!#REF!-'DADOS DOS EMPREENDIMENTOS'!#REF!)+'DADOS DOS EMPREENDIMENTOS'!#REF!,IF(AN45='DADOS DOS EMPREENDIMENTOS'!#REF!,'DADOS DOS EMPREENDIMENTOS'!#REF!,AP45*(1-'DADOS DOS EMPREENDIMENTOS'!#REF!-'DADOS DOS EMPREENDIMENTOS'!#REF!))))</f>
        <v>#REF!</v>
      </c>
      <c r="AS45" s="45">
        <v>4</v>
      </c>
      <c r="AT45" s="26">
        <v>40057</v>
      </c>
      <c r="AU45" s="8">
        <v>0</v>
      </c>
      <c r="AV45" s="56" t="e">
        <f>IF(AS45&lt;'DADOS DOS EMPREENDIMENTOS'!AU$11,0,IF(AS45='DADOS DOS EMPREENDIMENTOS'!AU$11,SUM(AU$41:AU45)*(1-'DADOS DOS EMPREENDIMENTOS'!#REF!-'DADOS DOS EMPREENDIMENTOS'!#REF!)+'DADOS DOS EMPREENDIMENTOS'!#REF!,IF(AS45='DADOS DOS EMPREENDIMENTOS'!#REF!,'DADOS DOS EMPREENDIMENTOS'!#REF!,AU45*(1-'DADOS DOS EMPREENDIMENTOS'!#REF!-'DADOS DOS EMPREENDIMENTOS'!#REF!))))</f>
        <v>#REF!</v>
      </c>
      <c r="AX45" s="45">
        <v>4</v>
      </c>
      <c r="AY45" s="26">
        <v>40057</v>
      </c>
      <c r="AZ45" s="8">
        <v>0</v>
      </c>
      <c r="BA45" s="56" t="e">
        <f>IF(AX45&lt;'DADOS DOS EMPREENDIMENTOS'!AZ$11,0,IF(AX45='DADOS DOS EMPREENDIMENTOS'!AZ$11,SUM(AZ$41:AZ45)*(1-'DADOS DOS EMPREENDIMENTOS'!#REF!-'DADOS DOS EMPREENDIMENTOS'!#REF!)+'DADOS DOS EMPREENDIMENTOS'!#REF!,IF(AX45='DADOS DOS EMPREENDIMENTOS'!#REF!,'DADOS DOS EMPREENDIMENTOS'!#REF!,AZ45*(1-'DADOS DOS EMPREENDIMENTOS'!#REF!-'DADOS DOS EMPREENDIMENTOS'!#REF!))))</f>
        <v>#REF!</v>
      </c>
      <c r="BC45" s="45">
        <v>4</v>
      </c>
      <c r="BD45" s="26">
        <v>40057</v>
      </c>
      <c r="BE45" s="8">
        <v>0</v>
      </c>
      <c r="BF45" s="56" t="e">
        <f>IF(BC45&lt;'DADOS DOS EMPREENDIMENTOS'!BE$11,0,IF(BC45='DADOS DOS EMPREENDIMENTOS'!BE$11,SUM(BE$41:BE45)*(1-'DADOS DOS EMPREENDIMENTOS'!#REF!-'DADOS DOS EMPREENDIMENTOS'!#REF!)+'DADOS DOS EMPREENDIMENTOS'!#REF!,IF(BC45='DADOS DOS EMPREENDIMENTOS'!#REF!,'DADOS DOS EMPREENDIMENTOS'!#REF!,BE45*(1-'DADOS DOS EMPREENDIMENTOS'!#REF!-'DADOS DOS EMPREENDIMENTOS'!#REF!))))</f>
        <v>#REF!</v>
      </c>
      <c r="BH45" s="45">
        <v>4</v>
      </c>
      <c r="BI45" s="26">
        <v>40057</v>
      </c>
      <c r="BJ45" s="8">
        <v>0</v>
      </c>
      <c r="BK45" s="56" t="e">
        <f>IF(BH45&lt;'DADOS DOS EMPREENDIMENTOS'!BJ$11,0,IF(BH45='DADOS DOS EMPREENDIMENTOS'!BJ$11,SUM(BJ$41:BJ45)*(1-'DADOS DOS EMPREENDIMENTOS'!#REF!-'DADOS DOS EMPREENDIMENTOS'!#REF!)+'DADOS DOS EMPREENDIMENTOS'!#REF!,IF(BH45='DADOS DOS EMPREENDIMENTOS'!#REF!,'DADOS DOS EMPREENDIMENTOS'!#REF!,BJ45*(1-'DADOS DOS EMPREENDIMENTOS'!#REF!-'DADOS DOS EMPREENDIMENTOS'!#REF!))))</f>
        <v>#REF!</v>
      </c>
      <c r="BM45" s="45">
        <v>4</v>
      </c>
      <c r="BN45" s="26">
        <v>40057</v>
      </c>
      <c r="BO45" s="8">
        <v>0</v>
      </c>
      <c r="BP45" s="56" t="e">
        <f>IF(BM45&lt;'DADOS DOS EMPREENDIMENTOS'!BO$11,0,IF(BM45='DADOS DOS EMPREENDIMENTOS'!BO$11,SUM(BO$41:BO45)*(1-'DADOS DOS EMPREENDIMENTOS'!#REF!-'DADOS DOS EMPREENDIMENTOS'!#REF!)+'DADOS DOS EMPREENDIMENTOS'!#REF!,IF(BM45='DADOS DOS EMPREENDIMENTOS'!BO$12,'DADOS DOS EMPREENDIMENTOS'!#REF!,BO45*(1-'DADOS DOS EMPREENDIMENTOS'!#REF!-'DADOS DOS EMPREENDIMENTOS'!#REF!))))</f>
        <v>#REF!</v>
      </c>
      <c r="BR45" s="45">
        <v>4</v>
      </c>
      <c r="BS45" s="26">
        <v>40057</v>
      </c>
      <c r="BT45" s="8">
        <v>0</v>
      </c>
      <c r="BU45" s="56" t="e">
        <f>IF(BR45&lt;'DADOS DOS EMPREENDIMENTOS'!BT$11,0,IF(BR45='DADOS DOS EMPREENDIMENTOS'!BT$11,SUM(BT$41:BT45)*(1-'DADOS DOS EMPREENDIMENTOS'!#REF!-'DADOS DOS EMPREENDIMENTOS'!#REF!)+'DADOS DOS EMPREENDIMENTOS'!#REF!,IF(BR45='DADOS DOS EMPREENDIMENTOS'!BT$12,'DADOS DOS EMPREENDIMENTOS'!#REF!,BT45*(1-'DADOS DOS EMPREENDIMENTOS'!#REF!-'DADOS DOS EMPREENDIMENTOS'!#REF!))))</f>
        <v>#REF!</v>
      </c>
      <c r="BW45" s="45">
        <v>4</v>
      </c>
      <c r="BX45" s="26">
        <v>40057</v>
      </c>
      <c r="BY45" s="8">
        <v>0</v>
      </c>
      <c r="BZ45" s="56" t="e">
        <f>IF(BW45&lt;'DADOS DOS EMPREENDIMENTOS'!BY$11,0,IF(BW45='DADOS DOS EMPREENDIMENTOS'!BY$11,SUM(BY$41:BY45)*(1-'DADOS DOS EMPREENDIMENTOS'!#REF!-'DADOS DOS EMPREENDIMENTOS'!#REF!)+'DADOS DOS EMPREENDIMENTOS'!#REF!,IF(BW45='DADOS DOS EMPREENDIMENTOS'!BY$12,'DADOS DOS EMPREENDIMENTOS'!#REF!,BY45*(1-'DADOS DOS EMPREENDIMENTOS'!#REF!-'DADOS DOS EMPREENDIMENTOS'!#REF!))))</f>
        <v>#REF!</v>
      </c>
      <c r="CB45" s="45">
        <v>4</v>
      </c>
      <c r="CC45" s="26">
        <v>40057</v>
      </c>
      <c r="CD45" s="8">
        <v>0</v>
      </c>
      <c r="CE45" s="56" t="e">
        <f>IF(CB45&lt;'DADOS DOS EMPREENDIMENTOS'!CD$11,0,IF(CB45='DADOS DOS EMPREENDIMENTOS'!CD$11,SUM(CD$41:CD45)*(1-'DADOS DOS EMPREENDIMENTOS'!#REF!-'DADOS DOS EMPREENDIMENTOS'!#REF!)+'DADOS DOS EMPREENDIMENTOS'!#REF!,IF(CB45='DADOS DOS EMPREENDIMENTOS'!CD$12,'DADOS DOS EMPREENDIMENTOS'!#REF!,CD45*(1-'DADOS DOS EMPREENDIMENTOS'!#REF!-'DADOS DOS EMPREENDIMENTOS'!#REF!))))</f>
        <v>#REF!</v>
      </c>
      <c r="CG45" s="45"/>
      <c r="CH45" s="26"/>
      <c r="CI45" s="8"/>
      <c r="CJ45" s="56"/>
    </row>
    <row r="46" spans="4:89" ht="12.75" customHeight="1" thickBot="1" x14ac:dyDescent="0.25">
      <c r="O46" s="36">
        <v>31</v>
      </c>
      <c r="P46" s="341" t="s">
        <v>252</v>
      </c>
      <c r="Q46" s="344">
        <f>VLOOKUP(P46,Apoio!C:E,2,0)</f>
        <v>206733.8</v>
      </c>
      <c r="R46" s="343">
        <v>220000</v>
      </c>
      <c r="S46" s="206">
        <v>5</v>
      </c>
      <c r="T46" s="45">
        <v>5</v>
      </c>
      <c r="U46" s="26"/>
      <c r="V46" s="8"/>
      <c r="W46" s="56"/>
      <c r="Y46" s="45">
        <v>5</v>
      </c>
      <c r="Z46" s="26"/>
      <c r="AA46" s="8"/>
      <c r="AB46" s="56"/>
      <c r="AD46" s="45">
        <v>5</v>
      </c>
      <c r="AE46" s="26">
        <v>40087</v>
      </c>
      <c r="AF46" s="8">
        <v>0</v>
      </c>
      <c r="AG46" s="56" t="e">
        <f>IF(AD46&lt;'DADOS DOS EMPREENDIMENTOS'!AF$11,0,IF(AD46='DADOS DOS EMPREENDIMENTOS'!AF$11,SUM(AF$41:AF46)*(1-'DADOS DOS EMPREENDIMENTOS'!#REF!-'DADOS DOS EMPREENDIMENTOS'!#REF!)+'DADOS DOS EMPREENDIMENTOS'!#REF!,IF(AD46='DADOS DOS EMPREENDIMENTOS'!#REF!,'DADOS DOS EMPREENDIMENTOS'!#REF!,AF46*(1-'DADOS DOS EMPREENDIMENTOS'!#REF!-'DADOS DOS EMPREENDIMENTOS'!#REF!))))</f>
        <v>#REF!</v>
      </c>
      <c r="AI46" s="45">
        <v>5</v>
      </c>
      <c r="AJ46" s="26">
        <v>40087</v>
      </c>
      <c r="AK46" s="8">
        <v>0</v>
      </c>
      <c r="AL46" s="56" t="e">
        <f>IF(AI46&lt;'DADOS DOS EMPREENDIMENTOS'!AK$11,0,IF(AI46='DADOS DOS EMPREENDIMENTOS'!AK$11,SUM(AK$41:AK46)*(1-'DADOS DOS EMPREENDIMENTOS'!#REF!-'DADOS DOS EMPREENDIMENTOS'!#REF!)+'DADOS DOS EMPREENDIMENTOS'!#REF!,IF(AI46='DADOS DOS EMPREENDIMENTOS'!#REF!,'DADOS DOS EMPREENDIMENTOS'!#REF!,AK46*(1-'DADOS DOS EMPREENDIMENTOS'!#REF!-'DADOS DOS EMPREENDIMENTOS'!#REF!))))</f>
        <v>#REF!</v>
      </c>
      <c r="AN46" s="45">
        <v>5</v>
      </c>
      <c r="AO46" s="26">
        <v>40087</v>
      </c>
      <c r="AP46" s="8">
        <v>0</v>
      </c>
      <c r="AQ46" s="56" t="e">
        <f>IF(AN46&lt;'DADOS DOS EMPREENDIMENTOS'!AP$11,0,IF(AN46='DADOS DOS EMPREENDIMENTOS'!AP$11,SUM(AP$41:AP46)*(1-'DADOS DOS EMPREENDIMENTOS'!#REF!-'DADOS DOS EMPREENDIMENTOS'!#REF!)+'DADOS DOS EMPREENDIMENTOS'!#REF!,IF(AN46='DADOS DOS EMPREENDIMENTOS'!#REF!,'DADOS DOS EMPREENDIMENTOS'!#REF!,AP46*(1-'DADOS DOS EMPREENDIMENTOS'!#REF!-'DADOS DOS EMPREENDIMENTOS'!#REF!))))</f>
        <v>#REF!</v>
      </c>
      <c r="AS46" s="45">
        <v>5</v>
      </c>
      <c r="AT46" s="26">
        <v>40087</v>
      </c>
      <c r="AU46" s="8">
        <v>0</v>
      </c>
      <c r="AV46" s="56" t="e">
        <f>IF(AS46&lt;'DADOS DOS EMPREENDIMENTOS'!AU$11,0,IF(AS46='DADOS DOS EMPREENDIMENTOS'!AU$11,SUM(AU$41:AU46)*(1-'DADOS DOS EMPREENDIMENTOS'!#REF!-'DADOS DOS EMPREENDIMENTOS'!#REF!)+'DADOS DOS EMPREENDIMENTOS'!#REF!,IF(AS46='DADOS DOS EMPREENDIMENTOS'!#REF!,'DADOS DOS EMPREENDIMENTOS'!#REF!,AU46*(1-'DADOS DOS EMPREENDIMENTOS'!#REF!-'DADOS DOS EMPREENDIMENTOS'!#REF!))))</f>
        <v>#REF!</v>
      </c>
      <c r="AX46" s="45">
        <v>5</v>
      </c>
      <c r="AY46" s="26">
        <v>40087</v>
      </c>
      <c r="AZ46" s="8">
        <v>0</v>
      </c>
      <c r="BA46" s="56" t="e">
        <f>IF(AX46&lt;'DADOS DOS EMPREENDIMENTOS'!AZ$11,0,IF(AX46='DADOS DOS EMPREENDIMENTOS'!AZ$11,SUM(AZ$41:AZ46)*(1-'DADOS DOS EMPREENDIMENTOS'!#REF!-'DADOS DOS EMPREENDIMENTOS'!#REF!)+'DADOS DOS EMPREENDIMENTOS'!#REF!,IF(AX46='DADOS DOS EMPREENDIMENTOS'!#REF!,'DADOS DOS EMPREENDIMENTOS'!#REF!,AZ46*(1-'DADOS DOS EMPREENDIMENTOS'!#REF!-'DADOS DOS EMPREENDIMENTOS'!#REF!))))</f>
        <v>#REF!</v>
      </c>
      <c r="BC46" s="45">
        <v>5</v>
      </c>
      <c r="BD46" s="26">
        <v>40087</v>
      </c>
      <c r="BE46" s="8">
        <v>0</v>
      </c>
      <c r="BF46" s="56" t="e">
        <f>IF(BC46&lt;'DADOS DOS EMPREENDIMENTOS'!BE$11,0,IF(BC46='DADOS DOS EMPREENDIMENTOS'!BE$11,SUM(BE$41:BE46)*(1-'DADOS DOS EMPREENDIMENTOS'!#REF!-'DADOS DOS EMPREENDIMENTOS'!#REF!)+'DADOS DOS EMPREENDIMENTOS'!#REF!,IF(BC46='DADOS DOS EMPREENDIMENTOS'!#REF!,'DADOS DOS EMPREENDIMENTOS'!#REF!,BE46*(1-'DADOS DOS EMPREENDIMENTOS'!#REF!-'DADOS DOS EMPREENDIMENTOS'!#REF!))))</f>
        <v>#REF!</v>
      </c>
      <c r="BH46" s="45">
        <v>5</v>
      </c>
      <c r="BI46" s="26">
        <v>40087</v>
      </c>
      <c r="BJ46" s="8">
        <v>0</v>
      </c>
      <c r="BK46" s="56" t="e">
        <f>IF(BH46&lt;'DADOS DOS EMPREENDIMENTOS'!BJ$11,0,IF(BH46='DADOS DOS EMPREENDIMENTOS'!BJ$11,SUM(BJ$41:BJ46)*(1-'DADOS DOS EMPREENDIMENTOS'!#REF!-'DADOS DOS EMPREENDIMENTOS'!#REF!)+'DADOS DOS EMPREENDIMENTOS'!#REF!,IF(BH46='DADOS DOS EMPREENDIMENTOS'!#REF!,'DADOS DOS EMPREENDIMENTOS'!#REF!,BJ46*(1-'DADOS DOS EMPREENDIMENTOS'!#REF!-'DADOS DOS EMPREENDIMENTOS'!#REF!))))</f>
        <v>#REF!</v>
      </c>
      <c r="BM46" s="45">
        <v>5</v>
      </c>
      <c r="BN46" s="26">
        <v>40087</v>
      </c>
      <c r="BO46" s="8">
        <v>0</v>
      </c>
      <c r="BP46" s="56" t="e">
        <f>IF(BM46&lt;'DADOS DOS EMPREENDIMENTOS'!BO$11,0,IF(BM46='DADOS DOS EMPREENDIMENTOS'!BO$11,SUM(BO$41:BO46)*(1-'DADOS DOS EMPREENDIMENTOS'!#REF!-'DADOS DOS EMPREENDIMENTOS'!#REF!)+'DADOS DOS EMPREENDIMENTOS'!#REF!,IF(BM46='DADOS DOS EMPREENDIMENTOS'!BO$12,'DADOS DOS EMPREENDIMENTOS'!#REF!,BO46*(1-'DADOS DOS EMPREENDIMENTOS'!#REF!-'DADOS DOS EMPREENDIMENTOS'!#REF!))))</f>
        <v>#REF!</v>
      </c>
      <c r="BR46" s="45">
        <v>5</v>
      </c>
      <c r="BS46" s="26">
        <v>40087</v>
      </c>
      <c r="BT46" s="8">
        <v>0</v>
      </c>
      <c r="BU46" s="56" t="e">
        <f>IF(BR46&lt;'DADOS DOS EMPREENDIMENTOS'!BT$11,0,IF(BR46='DADOS DOS EMPREENDIMENTOS'!BT$11,SUM(BT$41:BT46)*(1-'DADOS DOS EMPREENDIMENTOS'!#REF!-'DADOS DOS EMPREENDIMENTOS'!#REF!)+'DADOS DOS EMPREENDIMENTOS'!#REF!,IF(BR46='DADOS DOS EMPREENDIMENTOS'!BT$12,'DADOS DOS EMPREENDIMENTOS'!#REF!,BT46*(1-'DADOS DOS EMPREENDIMENTOS'!#REF!-'DADOS DOS EMPREENDIMENTOS'!#REF!))))</f>
        <v>#REF!</v>
      </c>
      <c r="BW46" s="45">
        <v>5</v>
      </c>
      <c r="BX46" s="26">
        <v>40087</v>
      </c>
      <c r="BY46" s="8">
        <v>0</v>
      </c>
      <c r="BZ46" s="56" t="e">
        <f>IF(BW46&lt;'DADOS DOS EMPREENDIMENTOS'!BY$11,0,IF(BW46='DADOS DOS EMPREENDIMENTOS'!BY$11,SUM(BY$41:BY46)*(1-'DADOS DOS EMPREENDIMENTOS'!#REF!-'DADOS DOS EMPREENDIMENTOS'!#REF!)+'DADOS DOS EMPREENDIMENTOS'!#REF!,IF(BW46='DADOS DOS EMPREENDIMENTOS'!BY$12,'DADOS DOS EMPREENDIMENTOS'!#REF!,BY46*(1-'DADOS DOS EMPREENDIMENTOS'!#REF!-'DADOS DOS EMPREENDIMENTOS'!#REF!))))</f>
        <v>#REF!</v>
      </c>
      <c r="CB46" s="45">
        <v>5</v>
      </c>
      <c r="CC46" s="26">
        <v>40087</v>
      </c>
      <c r="CD46" s="8">
        <v>0</v>
      </c>
      <c r="CE46" s="56" t="e">
        <f>IF(CB46&lt;'DADOS DOS EMPREENDIMENTOS'!CD$11,0,IF(CB46='DADOS DOS EMPREENDIMENTOS'!CD$11,SUM(CD$41:CD46)*(1-'DADOS DOS EMPREENDIMENTOS'!#REF!-'DADOS DOS EMPREENDIMENTOS'!#REF!)+'DADOS DOS EMPREENDIMENTOS'!#REF!,IF(CB46='DADOS DOS EMPREENDIMENTOS'!CD$12,'DADOS DOS EMPREENDIMENTOS'!#REF!,CD46*(1-'DADOS DOS EMPREENDIMENTOS'!#REF!-'DADOS DOS EMPREENDIMENTOS'!#REF!))))</f>
        <v>#REF!</v>
      </c>
      <c r="CG46" s="45"/>
      <c r="CH46" s="26"/>
      <c r="CI46" s="8"/>
      <c r="CJ46" s="56"/>
    </row>
    <row r="47" spans="4:89" ht="12.75" customHeight="1" thickBot="1" x14ac:dyDescent="0.25">
      <c r="O47" s="38">
        <v>32</v>
      </c>
      <c r="P47" s="341" t="s">
        <v>253</v>
      </c>
      <c r="Q47" s="344">
        <f>VLOOKUP(P47,Apoio!C:E,2,0)</f>
        <v>241644.5</v>
      </c>
      <c r="R47" s="343">
        <v>220000</v>
      </c>
      <c r="S47" s="206">
        <v>5</v>
      </c>
      <c r="T47" s="45">
        <v>6</v>
      </c>
      <c r="U47" s="26"/>
      <c r="V47" s="8"/>
      <c r="W47" s="56"/>
      <c r="Y47" s="45">
        <v>6</v>
      </c>
      <c r="Z47" s="26"/>
      <c r="AA47" s="8"/>
      <c r="AB47" s="56"/>
      <c r="AD47" s="45">
        <v>6</v>
      </c>
      <c r="AE47" s="26">
        <v>40118</v>
      </c>
      <c r="AF47" s="8">
        <v>0</v>
      </c>
      <c r="AG47" s="56" t="e">
        <f>IF(AD47&lt;'DADOS DOS EMPREENDIMENTOS'!AF$11,0,IF(AD47='DADOS DOS EMPREENDIMENTOS'!AF$11,SUM(AF$41:AF47)*(1-'DADOS DOS EMPREENDIMENTOS'!#REF!-'DADOS DOS EMPREENDIMENTOS'!#REF!)+'DADOS DOS EMPREENDIMENTOS'!#REF!,IF(AD47='DADOS DOS EMPREENDIMENTOS'!#REF!,'DADOS DOS EMPREENDIMENTOS'!#REF!,AF47*(1-'DADOS DOS EMPREENDIMENTOS'!#REF!-'DADOS DOS EMPREENDIMENTOS'!#REF!))))</f>
        <v>#REF!</v>
      </c>
      <c r="AI47" s="45">
        <v>6</v>
      </c>
      <c r="AJ47" s="26">
        <v>40118</v>
      </c>
      <c r="AK47" s="8">
        <v>0</v>
      </c>
      <c r="AL47" s="56" t="e">
        <f>IF(AI47&lt;'DADOS DOS EMPREENDIMENTOS'!AK$11,0,IF(AI47='DADOS DOS EMPREENDIMENTOS'!AK$11,SUM(AK$41:AK47)*(1-'DADOS DOS EMPREENDIMENTOS'!#REF!-'DADOS DOS EMPREENDIMENTOS'!#REF!)+'DADOS DOS EMPREENDIMENTOS'!#REF!,IF(AI47='DADOS DOS EMPREENDIMENTOS'!#REF!,'DADOS DOS EMPREENDIMENTOS'!#REF!,AK47*(1-'DADOS DOS EMPREENDIMENTOS'!#REF!-'DADOS DOS EMPREENDIMENTOS'!#REF!))))</f>
        <v>#REF!</v>
      </c>
      <c r="AN47" s="45">
        <v>6</v>
      </c>
      <c r="AO47" s="26">
        <v>40118</v>
      </c>
      <c r="AP47" s="8">
        <v>0</v>
      </c>
      <c r="AQ47" s="56" t="e">
        <f>IF(AN47&lt;'DADOS DOS EMPREENDIMENTOS'!AP$11,0,IF(AN47='DADOS DOS EMPREENDIMENTOS'!AP$11,SUM(AP$41:AP47)*(1-'DADOS DOS EMPREENDIMENTOS'!#REF!-'DADOS DOS EMPREENDIMENTOS'!#REF!)+'DADOS DOS EMPREENDIMENTOS'!#REF!,IF(AN47='DADOS DOS EMPREENDIMENTOS'!#REF!,'DADOS DOS EMPREENDIMENTOS'!#REF!,AP47*(1-'DADOS DOS EMPREENDIMENTOS'!#REF!-'DADOS DOS EMPREENDIMENTOS'!#REF!))))</f>
        <v>#REF!</v>
      </c>
      <c r="AS47" s="45">
        <v>6</v>
      </c>
      <c r="AT47" s="26">
        <v>40118</v>
      </c>
      <c r="AU47" s="8">
        <v>0</v>
      </c>
      <c r="AV47" s="56" t="e">
        <f>IF(AS47&lt;'DADOS DOS EMPREENDIMENTOS'!AU$11,0,IF(AS47='DADOS DOS EMPREENDIMENTOS'!AU$11,SUM(AU$41:AU47)*(1-'DADOS DOS EMPREENDIMENTOS'!#REF!-'DADOS DOS EMPREENDIMENTOS'!#REF!)+'DADOS DOS EMPREENDIMENTOS'!#REF!,IF(AS47='DADOS DOS EMPREENDIMENTOS'!#REF!,'DADOS DOS EMPREENDIMENTOS'!#REF!,AU47*(1-'DADOS DOS EMPREENDIMENTOS'!#REF!-'DADOS DOS EMPREENDIMENTOS'!#REF!))))</f>
        <v>#REF!</v>
      </c>
      <c r="AX47" s="45">
        <v>6</v>
      </c>
      <c r="AY47" s="26">
        <v>40118</v>
      </c>
      <c r="AZ47" s="8">
        <v>0</v>
      </c>
      <c r="BA47" s="56" t="e">
        <f>IF(AX47&lt;'DADOS DOS EMPREENDIMENTOS'!AZ$11,0,IF(AX47='DADOS DOS EMPREENDIMENTOS'!AZ$11,SUM(AZ$41:AZ47)*(1-'DADOS DOS EMPREENDIMENTOS'!#REF!-'DADOS DOS EMPREENDIMENTOS'!#REF!)+'DADOS DOS EMPREENDIMENTOS'!#REF!,IF(AX47='DADOS DOS EMPREENDIMENTOS'!#REF!,'DADOS DOS EMPREENDIMENTOS'!#REF!,AZ47*(1-'DADOS DOS EMPREENDIMENTOS'!#REF!-'DADOS DOS EMPREENDIMENTOS'!#REF!))))</f>
        <v>#REF!</v>
      </c>
      <c r="BC47" s="45">
        <v>6</v>
      </c>
      <c r="BD47" s="26">
        <v>40118</v>
      </c>
      <c r="BE47" s="8">
        <v>0</v>
      </c>
      <c r="BF47" s="56" t="e">
        <f>IF(BC47&lt;'DADOS DOS EMPREENDIMENTOS'!BE$11,0,IF(BC47='DADOS DOS EMPREENDIMENTOS'!BE$11,SUM(BE$41:BE47)*(1-'DADOS DOS EMPREENDIMENTOS'!#REF!-'DADOS DOS EMPREENDIMENTOS'!#REF!)+'DADOS DOS EMPREENDIMENTOS'!#REF!,IF(BC47='DADOS DOS EMPREENDIMENTOS'!#REF!,'DADOS DOS EMPREENDIMENTOS'!#REF!,BE47*(1-'DADOS DOS EMPREENDIMENTOS'!#REF!-'DADOS DOS EMPREENDIMENTOS'!#REF!))))</f>
        <v>#REF!</v>
      </c>
      <c r="BH47" s="45">
        <v>6</v>
      </c>
      <c r="BI47" s="26">
        <v>40118</v>
      </c>
      <c r="BJ47" s="8">
        <v>0</v>
      </c>
      <c r="BK47" s="56" t="e">
        <f>IF(BH47&lt;'DADOS DOS EMPREENDIMENTOS'!BJ$11,0,IF(BH47='DADOS DOS EMPREENDIMENTOS'!BJ$11,SUM(BJ$41:BJ47)*(1-'DADOS DOS EMPREENDIMENTOS'!#REF!-'DADOS DOS EMPREENDIMENTOS'!#REF!)+'DADOS DOS EMPREENDIMENTOS'!#REF!,IF(BH47='DADOS DOS EMPREENDIMENTOS'!#REF!,'DADOS DOS EMPREENDIMENTOS'!#REF!,BJ47*(1-'DADOS DOS EMPREENDIMENTOS'!#REF!-'DADOS DOS EMPREENDIMENTOS'!#REF!))))</f>
        <v>#REF!</v>
      </c>
      <c r="BM47" s="45">
        <v>6</v>
      </c>
      <c r="BN47" s="26">
        <v>40118</v>
      </c>
      <c r="BO47" s="8">
        <v>0</v>
      </c>
      <c r="BP47" s="56" t="e">
        <f>IF(BM47&lt;'DADOS DOS EMPREENDIMENTOS'!BO$11,0,IF(BM47='DADOS DOS EMPREENDIMENTOS'!BO$11,SUM(BO$41:BO47)*(1-'DADOS DOS EMPREENDIMENTOS'!#REF!-'DADOS DOS EMPREENDIMENTOS'!#REF!)+'DADOS DOS EMPREENDIMENTOS'!#REF!,IF(BM47='DADOS DOS EMPREENDIMENTOS'!BO$12,'DADOS DOS EMPREENDIMENTOS'!#REF!,BO47*(1-'DADOS DOS EMPREENDIMENTOS'!#REF!-'DADOS DOS EMPREENDIMENTOS'!#REF!))))</f>
        <v>#REF!</v>
      </c>
      <c r="BR47" s="45">
        <v>6</v>
      </c>
      <c r="BS47" s="26">
        <v>40118</v>
      </c>
      <c r="BT47" s="8">
        <v>0</v>
      </c>
      <c r="BU47" s="56" t="e">
        <f>IF(BR47&lt;'DADOS DOS EMPREENDIMENTOS'!BT$11,0,IF(BR47='DADOS DOS EMPREENDIMENTOS'!BT$11,SUM(BT$41:BT47)*(1-'DADOS DOS EMPREENDIMENTOS'!#REF!-'DADOS DOS EMPREENDIMENTOS'!#REF!)+'DADOS DOS EMPREENDIMENTOS'!#REF!,IF(BR47='DADOS DOS EMPREENDIMENTOS'!BT$12,'DADOS DOS EMPREENDIMENTOS'!#REF!,BT47*(1-'DADOS DOS EMPREENDIMENTOS'!#REF!-'DADOS DOS EMPREENDIMENTOS'!#REF!))))</f>
        <v>#REF!</v>
      </c>
      <c r="BW47" s="45">
        <v>6</v>
      </c>
      <c r="BX47" s="26">
        <v>40118</v>
      </c>
      <c r="BY47" s="8">
        <v>0</v>
      </c>
      <c r="BZ47" s="56" t="e">
        <f>IF(BW47&lt;'DADOS DOS EMPREENDIMENTOS'!BY$11,0,IF(BW47='DADOS DOS EMPREENDIMENTOS'!BY$11,SUM(BY$41:BY47)*(1-'DADOS DOS EMPREENDIMENTOS'!#REF!-'DADOS DOS EMPREENDIMENTOS'!#REF!)+'DADOS DOS EMPREENDIMENTOS'!#REF!,IF(BW47='DADOS DOS EMPREENDIMENTOS'!BY$12,'DADOS DOS EMPREENDIMENTOS'!#REF!,BY47*(1-'DADOS DOS EMPREENDIMENTOS'!#REF!-'DADOS DOS EMPREENDIMENTOS'!#REF!))))</f>
        <v>#REF!</v>
      </c>
      <c r="CB47" s="45">
        <v>6</v>
      </c>
      <c r="CC47" s="26">
        <v>40118</v>
      </c>
      <c r="CD47" s="8">
        <v>0</v>
      </c>
      <c r="CE47" s="56" t="e">
        <f>IF(CB47&lt;'DADOS DOS EMPREENDIMENTOS'!CD$11,0,IF(CB47='DADOS DOS EMPREENDIMENTOS'!CD$11,SUM(CD$41:CD47)*(1-'DADOS DOS EMPREENDIMENTOS'!#REF!-'DADOS DOS EMPREENDIMENTOS'!#REF!)+'DADOS DOS EMPREENDIMENTOS'!#REF!,IF(CB47='DADOS DOS EMPREENDIMENTOS'!CD$12,'DADOS DOS EMPREENDIMENTOS'!#REF!,CD47*(1-'DADOS DOS EMPREENDIMENTOS'!#REF!-'DADOS DOS EMPREENDIMENTOS'!#REF!))))</f>
        <v>#REF!</v>
      </c>
      <c r="CG47" s="45"/>
      <c r="CH47" s="26"/>
      <c r="CI47" s="8"/>
      <c r="CJ47" s="56"/>
    </row>
    <row r="48" spans="4:89" ht="12.75" customHeight="1" thickBot="1" x14ac:dyDescent="0.25">
      <c r="O48" s="36">
        <v>33</v>
      </c>
      <c r="P48" s="341" t="s">
        <v>254</v>
      </c>
      <c r="Q48" s="344">
        <f>VLOOKUP(P48,Apoio!C:E,2,0)</f>
        <v>241657.1</v>
      </c>
      <c r="R48" s="343">
        <v>220000</v>
      </c>
      <c r="S48" s="206">
        <v>5</v>
      </c>
      <c r="T48" s="45">
        <v>7</v>
      </c>
      <c r="U48" s="26"/>
      <c r="V48" s="8"/>
      <c r="W48" s="56"/>
      <c r="Y48" s="45">
        <v>7</v>
      </c>
      <c r="Z48" s="26"/>
      <c r="AA48" s="8"/>
      <c r="AB48" s="56"/>
      <c r="AD48" s="45">
        <v>7</v>
      </c>
      <c r="AE48" s="26">
        <v>40148</v>
      </c>
      <c r="AF48" s="8">
        <v>1.570000040555336E-2</v>
      </c>
      <c r="AG48" s="56" t="e">
        <f>IF(AD48&lt;'DADOS DOS EMPREENDIMENTOS'!AF$11,0,IF(AD48='DADOS DOS EMPREENDIMENTOS'!AF$11,SUM(AF$41:AF48)*(1-'DADOS DOS EMPREENDIMENTOS'!#REF!-'DADOS DOS EMPREENDIMENTOS'!#REF!)+'DADOS DOS EMPREENDIMENTOS'!#REF!,IF(AD48='DADOS DOS EMPREENDIMENTOS'!#REF!,'DADOS DOS EMPREENDIMENTOS'!#REF!,AF48*(1-'DADOS DOS EMPREENDIMENTOS'!#REF!-'DADOS DOS EMPREENDIMENTOS'!#REF!))))</f>
        <v>#REF!</v>
      </c>
      <c r="AI48" s="45">
        <v>7</v>
      </c>
      <c r="AJ48" s="26">
        <v>40148</v>
      </c>
      <c r="AK48" s="8">
        <v>1.570000040555336E-2</v>
      </c>
      <c r="AL48" s="56" t="e">
        <f>IF(AI48&lt;'DADOS DOS EMPREENDIMENTOS'!AK$11,0,IF(AI48='DADOS DOS EMPREENDIMENTOS'!AK$11,SUM(AK$41:AK48)*(1-'DADOS DOS EMPREENDIMENTOS'!#REF!-'DADOS DOS EMPREENDIMENTOS'!#REF!)+'DADOS DOS EMPREENDIMENTOS'!#REF!,IF(AI48='DADOS DOS EMPREENDIMENTOS'!#REF!,'DADOS DOS EMPREENDIMENTOS'!#REF!,AK48*(1-'DADOS DOS EMPREENDIMENTOS'!#REF!-'DADOS DOS EMPREENDIMENTOS'!#REF!))))</f>
        <v>#REF!</v>
      </c>
      <c r="AN48" s="45">
        <v>7</v>
      </c>
      <c r="AO48" s="26">
        <v>40148</v>
      </c>
      <c r="AP48" s="8">
        <v>1.570000040555336E-2</v>
      </c>
      <c r="AQ48" s="56" t="e">
        <f>IF(AN48&lt;'DADOS DOS EMPREENDIMENTOS'!AP$11,0,IF(AN48='DADOS DOS EMPREENDIMENTOS'!AP$11,SUM(AP$41:AP48)*(1-'DADOS DOS EMPREENDIMENTOS'!#REF!-'DADOS DOS EMPREENDIMENTOS'!#REF!)+'DADOS DOS EMPREENDIMENTOS'!#REF!,IF(AN48='DADOS DOS EMPREENDIMENTOS'!#REF!,'DADOS DOS EMPREENDIMENTOS'!#REF!,AP48*(1-'DADOS DOS EMPREENDIMENTOS'!#REF!-'DADOS DOS EMPREENDIMENTOS'!#REF!))))</f>
        <v>#REF!</v>
      </c>
      <c r="AS48" s="45">
        <v>7</v>
      </c>
      <c r="AT48" s="26">
        <v>40148</v>
      </c>
      <c r="AU48" s="8">
        <v>1.570000040555336E-2</v>
      </c>
      <c r="AV48" s="56" t="e">
        <f>IF(AS48&lt;'DADOS DOS EMPREENDIMENTOS'!AU$11,0,IF(AS48='DADOS DOS EMPREENDIMENTOS'!AU$11,SUM(AU$41:AU48)*(1-'DADOS DOS EMPREENDIMENTOS'!#REF!-'DADOS DOS EMPREENDIMENTOS'!#REF!)+'DADOS DOS EMPREENDIMENTOS'!#REF!,IF(AS48='DADOS DOS EMPREENDIMENTOS'!#REF!,'DADOS DOS EMPREENDIMENTOS'!#REF!,AU48*(1-'DADOS DOS EMPREENDIMENTOS'!#REF!-'DADOS DOS EMPREENDIMENTOS'!#REF!))))</f>
        <v>#REF!</v>
      </c>
      <c r="AX48" s="45">
        <v>7</v>
      </c>
      <c r="AY48" s="26">
        <v>40148</v>
      </c>
      <c r="AZ48" s="8">
        <v>1.570000040555336E-2</v>
      </c>
      <c r="BA48" s="56" t="e">
        <f>IF(AX48&lt;'DADOS DOS EMPREENDIMENTOS'!AZ$11,0,IF(AX48='DADOS DOS EMPREENDIMENTOS'!AZ$11,SUM(AZ$41:AZ48)*(1-'DADOS DOS EMPREENDIMENTOS'!#REF!-'DADOS DOS EMPREENDIMENTOS'!#REF!)+'DADOS DOS EMPREENDIMENTOS'!#REF!,IF(AX48='DADOS DOS EMPREENDIMENTOS'!#REF!,'DADOS DOS EMPREENDIMENTOS'!#REF!,AZ48*(1-'DADOS DOS EMPREENDIMENTOS'!#REF!-'DADOS DOS EMPREENDIMENTOS'!#REF!))))</f>
        <v>#REF!</v>
      </c>
      <c r="BC48" s="45">
        <v>7</v>
      </c>
      <c r="BD48" s="26">
        <v>40148</v>
      </c>
      <c r="BE48" s="8">
        <v>1.570000040555336E-2</v>
      </c>
      <c r="BF48" s="56" t="e">
        <f>IF(BC48&lt;'DADOS DOS EMPREENDIMENTOS'!BE$11,0,IF(BC48='DADOS DOS EMPREENDIMENTOS'!BE$11,SUM(BE$41:BE48)*(1-'DADOS DOS EMPREENDIMENTOS'!#REF!-'DADOS DOS EMPREENDIMENTOS'!#REF!)+'DADOS DOS EMPREENDIMENTOS'!#REF!,IF(BC48='DADOS DOS EMPREENDIMENTOS'!#REF!,'DADOS DOS EMPREENDIMENTOS'!#REF!,BE48*(1-'DADOS DOS EMPREENDIMENTOS'!#REF!-'DADOS DOS EMPREENDIMENTOS'!#REF!))))</f>
        <v>#REF!</v>
      </c>
      <c r="BH48" s="45">
        <v>7</v>
      </c>
      <c r="BI48" s="26">
        <v>40148</v>
      </c>
      <c r="BJ48" s="8">
        <v>1.570000040555336E-2</v>
      </c>
      <c r="BK48" s="56" t="e">
        <f>IF(BH48&lt;'DADOS DOS EMPREENDIMENTOS'!BJ$11,0,IF(BH48='DADOS DOS EMPREENDIMENTOS'!BJ$11,SUM(BJ$41:BJ48)*(1-'DADOS DOS EMPREENDIMENTOS'!#REF!-'DADOS DOS EMPREENDIMENTOS'!#REF!)+'DADOS DOS EMPREENDIMENTOS'!#REF!,IF(BH48='DADOS DOS EMPREENDIMENTOS'!#REF!,'DADOS DOS EMPREENDIMENTOS'!#REF!,BJ48*(1-'DADOS DOS EMPREENDIMENTOS'!#REF!-'DADOS DOS EMPREENDIMENTOS'!#REF!))))</f>
        <v>#REF!</v>
      </c>
      <c r="BM48" s="45">
        <v>7</v>
      </c>
      <c r="BN48" s="26">
        <v>40148</v>
      </c>
      <c r="BO48" s="8">
        <v>1.570000040555336E-2</v>
      </c>
      <c r="BP48" s="56" t="e">
        <f>IF(BM48&lt;'DADOS DOS EMPREENDIMENTOS'!BO$11,0,IF(BM48='DADOS DOS EMPREENDIMENTOS'!BO$11,SUM(BO$41:BO48)*(1-'DADOS DOS EMPREENDIMENTOS'!#REF!-'DADOS DOS EMPREENDIMENTOS'!#REF!)+'DADOS DOS EMPREENDIMENTOS'!#REF!,IF(BM48='DADOS DOS EMPREENDIMENTOS'!BO$12,'DADOS DOS EMPREENDIMENTOS'!#REF!,BO48*(1-'DADOS DOS EMPREENDIMENTOS'!#REF!-'DADOS DOS EMPREENDIMENTOS'!#REF!))))</f>
        <v>#REF!</v>
      </c>
      <c r="BR48" s="45">
        <v>7</v>
      </c>
      <c r="BS48" s="26">
        <v>40148</v>
      </c>
      <c r="BT48" s="8">
        <v>1.570000040555336E-2</v>
      </c>
      <c r="BU48" s="56" t="e">
        <f>IF(BR48&lt;'DADOS DOS EMPREENDIMENTOS'!BT$11,0,IF(BR48='DADOS DOS EMPREENDIMENTOS'!BT$11,SUM(BT$41:BT48)*(1-'DADOS DOS EMPREENDIMENTOS'!#REF!-'DADOS DOS EMPREENDIMENTOS'!#REF!)+'DADOS DOS EMPREENDIMENTOS'!#REF!,IF(BR48='DADOS DOS EMPREENDIMENTOS'!BT$12,'DADOS DOS EMPREENDIMENTOS'!#REF!,BT48*(1-'DADOS DOS EMPREENDIMENTOS'!#REF!-'DADOS DOS EMPREENDIMENTOS'!#REF!))))</f>
        <v>#REF!</v>
      </c>
      <c r="BW48" s="45">
        <v>7</v>
      </c>
      <c r="BX48" s="26">
        <v>40148</v>
      </c>
      <c r="BY48" s="8">
        <v>1.570000040555336E-2</v>
      </c>
      <c r="BZ48" s="56" t="e">
        <f>IF(BW48&lt;'DADOS DOS EMPREENDIMENTOS'!BY$11,0,IF(BW48='DADOS DOS EMPREENDIMENTOS'!BY$11,SUM(BY$41:BY48)*(1-'DADOS DOS EMPREENDIMENTOS'!#REF!-'DADOS DOS EMPREENDIMENTOS'!#REF!)+'DADOS DOS EMPREENDIMENTOS'!#REF!,IF(BW48='DADOS DOS EMPREENDIMENTOS'!BY$12,'DADOS DOS EMPREENDIMENTOS'!#REF!,BY48*(1-'DADOS DOS EMPREENDIMENTOS'!#REF!-'DADOS DOS EMPREENDIMENTOS'!#REF!))))</f>
        <v>#REF!</v>
      </c>
      <c r="CB48" s="45">
        <v>7</v>
      </c>
      <c r="CC48" s="26">
        <v>40148</v>
      </c>
      <c r="CD48" s="8">
        <v>1.570000040555336E-2</v>
      </c>
      <c r="CE48" s="56" t="e">
        <f>IF(CB48&lt;'DADOS DOS EMPREENDIMENTOS'!CD$11,0,IF(CB48='DADOS DOS EMPREENDIMENTOS'!CD$11,SUM(CD$41:CD48)*(1-'DADOS DOS EMPREENDIMENTOS'!#REF!-'DADOS DOS EMPREENDIMENTOS'!#REF!)+'DADOS DOS EMPREENDIMENTOS'!#REF!,IF(CB48='DADOS DOS EMPREENDIMENTOS'!CD$12,'DADOS DOS EMPREENDIMENTOS'!#REF!,CD48*(1-'DADOS DOS EMPREENDIMENTOS'!#REF!-'DADOS DOS EMPREENDIMENTOS'!#REF!))))</f>
        <v>#REF!</v>
      </c>
      <c r="CG48" s="45"/>
      <c r="CH48" s="26"/>
      <c r="CI48" s="8"/>
      <c r="CJ48" s="56"/>
    </row>
    <row r="49" spans="15:88" ht="12.75" customHeight="1" thickBot="1" x14ac:dyDescent="0.25">
      <c r="O49" s="38">
        <v>34</v>
      </c>
      <c r="P49" s="341" t="s">
        <v>255</v>
      </c>
      <c r="Q49" s="344">
        <f>VLOOKUP(P49,Apoio!C:E,2,0)</f>
        <v>241657.1</v>
      </c>
      <c r="R49" s="343">
        <v>220000</v>
      </c>
      <c r="S49" s="206">
        <v>5</v>
      </c>
      <c r="T49" s="45">
        <v>8</v>
      </c>
      <c r="U49" s="26"/>
      <c r="V49" s="8"/>
      <c r="W49" s="56"/>
      <c r="Y49" s="45">
        <v>8</v>
      </c>
      <c r="Z49" s="26"/>
      <c r="AA49" s="8"/>
      <c r="AB49" s="56"/>
      <c r="AD49" s="45">
        <v>8</v>
      </c>
      <c r="AE49" s="26">
        <v>40179</v>
      </c>
      <c r="AF49" s="8">
        <v>4.6099999744609189E-2</v>
      </c>
      <c r="AG49" s="56" t="e">
        <f>IF(AD49&lt;'DADOS DOS EMPREENDIMENTOS'!AF$11,0,IF(AD49='DADOS DOS EMPREENDIMENTOS'!AF$11,SUM(AF$41:AF49)*(1-'DADOS DOS EMPREENDIMENTOS'!#REF!-'DADOS DOS EMPREENDIMENTOS'!#REF!)+'DADOS DOS EMPREENDIMENTOS'!#REF!,IF(AD49='DADOS DOS EMPREENDIMENTOS'!#REF!,'DADOS DOS EMPREENDIMENTOS'!#REF!,AF49*(1-'DADOS DOS EMPREENDIMENTOS'!#REF!-'DADOS DOS EMPREENDIMENTOS'!#REF!))))</f>
        <v>#REF!</v>
      </c>
      <c r="AI49" s="45">
        <v>8</v>
      </c>
      <c r="AJ49" s="26">
        <v>40179</v>
      </c>
      <c r="AK49" s="8">
        <v>4.6099999744609189E-2</v>
      </c>
      <c r="AL49" s="56" t="e">
        <f>IF(AI49&lt;'DADOS DOS EMPREENDIMENTOS'!AK$11,0,IF(AI49='DADOS DOS EMPREENDIMENTOS'!AK$11,SUM(AK$41:AK49)*(1-'DADOS DOS EMPREENDIMENTOS'!#REF!-'DADOS DOS EMPREENDIMENTOS'!#REF!)+'DADOS DOS EMPREENDIMENTOS'!#REF!,IF(AI49='DADOS DOS EMPREENDIMENTOS'!#REF!,'DADOS DOS EMPREENDIMENTOS'!#REF!,AK49*(1-'DADOS DOS EMPREENDIMENTOS'!#REF!-'DADOS DOS EMPREENDIMENTOS'!#REF!))))</f>
        <v>#REF!</v>
      </c>
      <c r="AN49" s="45">
        <v>8</v>
      </c>
      <c r="AO49" s="26">
        <v>40179</v>
      </c>
      <c r="AP49" s="8">
        <v>4.6099999744609189E-2</v>
      </c>
      <c r="AQ49" s="56" t="e">
        <f>IF(AN49&lt;'DADOS DOS EMPREENDIMENTOS'!AP$11,0,IF(AN49='DADOS DOS EMPREENDIMENTOS'!AP$11,SUM(AP$41:AP49)*(1-'DADOS DOS EMPREENDIMENTOS'!#REF!-'DADOS DOS EMPREENDIMENTOS'!#REF!)+'DADOS DOS EMPREENDIMENTOS'!#REF!,IF(AN49='DADOS DOS EMPREENDIMENTOS'!#REF!,'DADOS DOS EMPREENDIMENTOS'!#REF!,AP49*(1-'DADOS DOS EMPREENDIMENTOS'!#REF!-'DADOS DOS EMPREENDIMENTOS'!#REF!))))</f>
        <v>#REF!</v>
      </c>
      <c r="AS49" s="45">
        <v>8</v>
      </c>
      <c r="AT49" s="26">
        <v>40179</v>
      </c>
      <c r="AU49" s="8">
        <v>4.6099999744609189E-2</v>
      </c>
      <c r="AV49" s="56" t="e">
        <f>IF(AS49&lt;'DADOS DOS EMPREENDIMENTOS'!AU$11,0,IF(AS49='DADOS DOS EMPREENDIMENTOS'!AU$11,SUM(AU$41:AU49)*(1-'DADOS DOS EMPREENDIMENTOS'!#REF!-'DADOS DOS EMPREENDIMENTOS'!#REF!)+'DADOS DOS EMPREENDIMENTOS'!#REF!,IF(AS49='DADOS DOS EMPREENDIMENTOS'!#REF!,'DADOS DOS EMPREENDIMENTOS'!#REF!,AU49*(1-'DADOS DOS EMPREENDIMENTOS'!#REF!-'DADOS DOS EMPREENDIMENTOS'!#REF!))))</f>
        <v>#REF!</v>
      </c>
      <c r="AX49" s="45">
        <v>8</v>
      </c>
      <c r="AY49" s="26">
        <v>40179</v>
      </c>
      <c r="AZ49" s="8">
        <v>4.6099999744609189E-2</v>
      </c>
      <c r="BA49" s="56" t="e">
        <f>IF(AX49&lt;'DADOS DOS EMPREENDIMENTOS'!AZ$11,0,IF(AX49='DADOS DOS EMPREENDIMENTOS'!AZ$11,SUM(AZ$41:AZ49)*(1-'DADOS DOS EMPREENDIMENTOS'!#REF!-'DADOS DOS EMPREENDIMENTOS'!#REF!)+'DADOS DOS EMPREENDIMENTOS'!#REF!,IF(AX49='DADOS DOS EMPREENDIMENTOS'!#REF!,'DADOS DOS EMPREENDIMENTOS'!#REF!,AZ49*(1-'DADOS DOS EMPREENDIMENTOS'!#REF!-'DADOS DOS EMPREENDIMENTOS'!#REF!))))</f>
        <v>#REF!</v>
      </c>
      <c r="BC49" s="45">
        <v>8</v>
      </c>
      <c r="BD49" s="26">
        <v>40179</v>
      </c>
      <c r="BE49" s="8">
        <v>4.6099999744609189E-2</v>
      </c>
      <c r="BF49" s="56" t="e">
        <f>IF(BC49&lt;'DADOS DOS EMPREENDIMENTOS'!BE$11,0,IF(BC49='DADOS DOS EMPREENDIMENTOS'!BE$11,SUM(BE$41:BE49)*(1-'DADOS DOS EMPREENDIMENTOS'!#REF!-'DADOS DOS EMPREENDIMENTOS'!#REF!)+'DADOS DOS EMPREENDIMENTOS'!#REF!,IF(BC49='DADOS DOS EMPREENDIMENTOS'!#REF!,'DADOS DOS EMPREENDIMENTOS'!#REF!,BE49*(1-'DADOS DOS EMPREENDIMENTOS'!#REF!-'DADOS DOS EMPREENDIMENTOS'!#REF!))))</f>
        <v>#REF!</v>
      </c>
      <c r="BH49" s="45">
        <v>8</v>
      </c>
      <c r="BI49" s="26">
        <v>40179</v>
      </c>
      <c r="BJ49" s="8">
        <v>4.6099999744609189E-2</v>
      </c>
      <c r="BK49" s="56" t="e">
        <f>IF(BH49&lt;'DADOS DOS EMPREENDIMENTOS'!BJ$11,0,IF(BH49='DADOS DOS EMPREENDIMENTOS'!BJ$11,SUM(BJ$41:BJ49)*(1-'DADOS DOS EMPREENDIMENTOS'!#REF!-'DADOS DOS EMPREENDIMENTOS'!#REF!)+'DADOS DOS EMPREENDIMENTOS'!#REF!,IF(BH49='DADOS DOS EMPREENDIMENTOS'!#REF!,'DADOS DOS EMPREENDIMENTOS'!#REF!,BJ49*(1-'DADOS DOS EMPREENDIMENTOS'!#REF!-'DADOS DOS EMPREENDIMENTOS'!#REF!))))</f>
        <v>#REF!</v>
      </c>
      <c r="BM49" s="45">
        <v>8</v>
      </c>
      <c r="BN49" s="26">
        <v>40179</v>
      </c>
      <c r="BO49" s="8">
        <v>4.6099999744609189E-2</v>
      </c>
      <c r="BP49" s="56" t="e">
        <f>IF(BM49&lt;'DADOS DOS EMPREENDIMENTOS'!BO$11,0,IF(BM49='DADOS DOS EMPREENDIMENTOS'!BO$11,SUM(BO$41:BO49)*(1-'DADOS DOS EMPREENDIMENTOS'!#REF!-'DADOS DOS EMPREENDIMENTOS'!#REF!)+'DADOS DOS EMPREENDIMENTOS'!#REF!,IF(BM49='DADOS DOS EMPREENDIMENTOS'!BO$12,'DADOS DOS EMPREENDIMENTOS'!#REF!,BO49*(1-'DADOS DOS EMPREENDIMENTOS'!#REF!-'DADOS DOS EMPREENDIMENTOS'!#REF!))))</f>
        <v>#REF!</v>
      </c>
      <c r="BR49" s="45">
        <v>8</v>
      </c>
      <c r="BS49" s="26">
        <v>40179</v>
      </c>
      <c r="BT49" s="8">
        <v>4.6099999744609189E-2</v>
      </c>
      <c r="BU49" s="56" t="e">
        <f>IF(BR49&lt;'DADOS DOS EMPREENDIMENTOS'!BT$11,0,IF(BR49='DADOS DOS EMPREENDIMENTOS'!BT$11,SUM(BT$41:BT49)*(1-'DADOS DOS EMPREENDIMENTOS'!#REF!-'DADOS DOS EMPREENDIMENTOS'!#REF!)+'DADOS DOS EMPREENDIMENTOS'!#REF!,IF(BR49='DADOS DOS EMPREENDIMENTOS'!BT$12,'DADOS DOS EMPREENDIMENTOS'!#REF!,BT49*(1-'DADOS DOS EMPREENDIMENTOS'!#REF!-'DADOS DOS EMPREENDIMENTOS'!#REF!))))</f>
        <v>#REF!</v>
      </c>
      <c r="BW49" s="45">
        <v>8</v>
      </c>
      <c r="BX49" s="26">
        <v>40179</v>
      </c>
      <c r="BY49" s="8">
        <v>4.6099999744609189E-2</v>
      </c>
      <c r="BZ49" s="56" t="e">
        <f>IF(BW49&lt;'DADOS DOS EMPREENDIMENTOS'!BY$11,0,IF(BW49='DADOS DOS EMPREENDIMENTOS'!BY$11,SUM(BY$41:BY49)*(1-'DADOS DOS EMPREENDIMENTOS'!#REF!-'DADOS DOS EMPREENDIMENTOS'!#REF!)+'DADOS DOS EMPREENDIMENTOS'!#REF!,IF(BW49='DADOS DOS EMPREENDIMENTOS'!BY$12,'DADOS DOS EMPREENDIMENTOS'!#REF!,BY49*(1-'DADOS DOS EMPREENDIMENTOS'!#REF!-'DADOS DOS EMPREENDIMENTOS'!#REF!))))</f>
        <v>#REF!</v>
      </c>
      <c r="CB49" s="45">
        <v>8</v>
      </c>
      <c r="CC49" s="26">
        <v>40179</v>
      </c>
      <c r="CD49" s="8">
        <v>4.6099999744609189E-2</v>
      </c>
      <c r="CE49" s="56" t="e">
        <f>IF(CB49&lt;'DADOS DOS EMPREENDIMENTOS'!CD$11,0,IF(CB49='DADOS DOS EMPREENDIMENTOS'!CD$11,SUM(CD$41:CD49)*(1-'DADOS DOS EMPREENDIMENTOS'!#REF!-'DADOS DOS EMPREENDIMENTOS'!#REF!)+'DADOS DOS EMPREENDIMENTOS'!#REF!,IF(CB49='DADOS DOS EMPREENDIMENTOS'!CD$12,'DADOS DOS EMPREENDIMENTOS'!#REF!,CD49*(1-'DADOS DOS EMPREENDIMENTOS'!#REF!-'DADOS DOS EMPREENDIMENTOS'!#REF!))))</f>
        <v>#REF!</v>
      </c>
      <c r="CG49" s="45"/>
      <c r="CH49" s="26"/>
      <c r="CI49" s="8"/>
      <c r="CJ49" s="56"/>
    </row>
    <row r="50" spans="15:88" ht="12.75" customHeight="1" thickBot="1" x14ac:dyDescent="0.25">
      <c r="O50" s="36">
        <v>35</v>
      </c>
      <c r="P50" s="341" t="s">
        <v>256</v>
      </c>
      <c r="Q50" s="344">
        <f>VLOOKUP(P50,Apoio!C:E,2,0)</f>
        <v>239240.1</v>
      </c>
      <c r="R50" s="343">
        <v>220000</v>
      </c>
      <c r="S50" s="206">
        <v>5</v>
      </c>
      <c r="T50" s="45">
        <v>9</v>
      </c>
      <c r="U50" s="26"/>
      <c r="V50" s="8"/>
      <c r="W50" s="56"/>
      <c r="Y50" s="45">
        <v>9</v>
      </c>
      <c r="Z50" s="26"/>
      <c r="AA50" s="8"/>
      <c r="AB50" s="56"/>
      <c r="AD50" s="45">
        <v>9</v>
      </c>
      <c r="AE50" s="26">
        <v>40210</v>
      </c>
      <c r="AF50" s="8">
        <v>4.5700000205209423E-2</v>
      </c>
      <c r="AG50" s="56" t="e">
        <f>IF(AD50&lt;'DADOS DOS EMPREENDIMENTOS'!AF$11,0,IF(AD50='DADOS DOS EMPREENDIMENTOS'!AF$11,SUM(AF$41:AF50)*(1-'DADOS DOS EMPREENDIMENTOS'!#REF!-'DADOS DOS EMPREENDIMENTOS'!#REF!)+'DADOS DOS EMPREENDIMENTOS'!#REF!,IF(AD50='DADOS DOS EMPREENDIMENTOS'!#REF!,'DADOS DOS EMPREENDIMENTOS'!#REF!,AF50*(1-'DADOS DOS EMPREENDIMENTOS'!#REF!-'DADOS DOS EMPREENDIMENTOS'!#REF!))))</f>
        <v>#REF!</v>
      </c>
      <c r="AI50" s="45">
        <v>9</v>
      </c>
      <c r="AJ50" s="26">
        <v>40210</v>
      </c>
      <c r="AK50" s="8">
        <v>4.5700000205209423E-2</v>
      </c>
      <c r="AL50" s="56" t="e">
        <f>IF(AI50&lt;'DADOS DOS EMPREENDIMENTOS'!AK$11,0,IF(AI50='DADOS DOS EMPREENDIMENTOS'!AK$11,SUM(AK$41:AK50)*(1-'DADOS DOS EMPREENDIMENTOS'!#REF!-'DADOS DOS EMPREENDIMENTOS'!#REF!)+'DADOS DOS EMPREENDIMENTOS'!#REF!,IF(AI50='DADOS DOS EMPREENDIMENTOS'!#REF!,'DADOS DOS EMPREENDIMENTOS'!#REF!,AK50*(1-'DADOS DOS EMPREENDIMENTOS'!#REF!-'DADOS DOS EMPREENDIMENTOS'!#REF!))))</f>
        <v>#REF!</v>
      </c>
      <c r="AN50" s="45">
        <v>9</v>
      </c>
      <c r="AO50" s="26">
        <v>40210</v>
      </c>
      <c r="AP50" s="8">
        <v>4.5700000205209423E-2</v>
      </c>
      <c r="AQ50" s="56" t="e">
        <f>IF(AN50&lt;'DADOS DOS EMPREENDIMENTOS'!AP$11,0,IF(AN50='DADOS DOS EMPREENDIMENTOS'!AP$11,SUM(AP$41:AP50)*(1-'DADOS DOS EMPREENDIMENTOS'!#REF!-'DADOS DOS EMPREENDIMENTOS'!#REF!)+'DADOS DOS EMPREENDIMENTOS'!#REF!,IF(AN50='DADOS DOS EMPREENDIMENTOS'!#REF!,'DADOS DOS EMPREENDIMENTOS'!#REF!,AP50*(1-'DADOS DOS EMPREENDIMENTOS'!#REF!-'DADOS DOS EMPREENDIMENTOS'!#REF!))))</f>
        <v>#REF!</v>
      </c>
      <c r="AS50" s="45">
        <v>9</v>
      </c>
      <c r="AT50" s="26">
        <v>40210</v>
      </c>
      <c r="AU50" s="8">
        <v>4.5700000205209423E-2</v>
      </c>
      <c r="AV50" s="56" t="e">
        <f>IF(AS50&lt;'DADOS DOS EMPREENDIMENTOS'!AU$11,0,IF(AS50='DADOS DOS EMPREENDIMENTOS'!AU$11,SUM(AU$41:AU50)*(1-'DADOS DOS EMPREENDIMENTOS'!#REF!-'DADOS DOS EMPREENDIMENTOS'!#REF!)+'DADOS DOS EMPREENDIMENTOS'!#REF!,IF(AS50='DADOS DOS EMPREENDIMENTOS'!#REF!,'DADOS DOS EMPREENDIMENTOS'!#REF!,AU50*(1-'DADOS DOS EMPREENDIMENTOS'!#REF!-'DADOS DOS EMPREENDIMENTOS'!#REF!))))</f>
        <v>#REF!</v>
      </c>
      <c r="AX50" s="45">
        <v>9</v>
      </c>
      <c r="AY50" s="26">
        <v>40210</v>
      </c>
      <c r="AZ50" s="8">
        <v>4.5700000205209423E-2</v>
      </c>
      <c r="BA50" s="56" t="e">
        <f>IF(AX50&lt;'DADOS DOS EMPREENDIMENTOS'!AZ$11,0,IF(AX50='DADOS DOS EMPREENDIMENTOS'!AZ$11,SUM(AZ$41:AZ50)*(1-'DADOS DOS EMPREENDIMENTOS'!#REF!-'DADOS DOS EMPREENDIMENTOS'!#REF!)+'DADOS DOS EMPREENDIMENTOS'!#REF!,IF(AX50='DADOS DOS EMPREENDIMENTOS'!#REF!,'DADOS DOS EMPREENDIMENTOS'!#REF!,AZ50*(1-'DADOS DOS EMPREENDIMENTOS'!#REF!-'DADOS DOS EMPREENDIMENTOS'!#REF!))))</f>
        <v>#REF!</v>
      </c>
      <c r="BC50" s="45">
        <v>9</v>
      </c>
      <c r="BD50" s="26">
        <v>40210</v>
      </c>
      <c r="BE50" s="8">
        <v>4.5700000205209423E-2</v>
      </c>
      <c r="BF50" s="56" t="e">
        <f>IF(BC50&lt;'DADOS DOS EMPREENDIMENTOS'!BE$11,0,IF(BC50='DADOS DOS EMPREENDIMENTOS'!BE$11,SUM(BE$41:BE50)*(1-'DADOS DOS EMPREENDIMENTOS'!#REF!-'DADOS DOS EMPREENDIMENTOS'!#REF!)+'DADOS DOS EMPREENDIMENTOS'!#REF!,IF(BC50='DADOS DOS EMPREENDIMENTOS'!#REF!,'DADOS DOS EMPREENDIMENTOS'!#REF!,BE50*(1-'DADOS DOS EMPREENDIMENTOS'!#REF!-'DADOS DOS EMPREENDIMENTOS'!#REF!))))</f>
        <v>#REF!</v>
      </c>
      <c r="BH50" s="45">
        <v>9</v>
      </c>
      <c r="BI50" s="26">
        <v>40210</v>
      </c>
      <c r="BJ50" s="8">
        <v>4.5700000205209423E-2</v>
      </c>
      <c r="BK50" s="56" t="e">
        <f>IF(BH50&lt;'DADOS DOS EMPREENDIMENTOS'!BJ$11,0,IF(BH50='DADOS DOS EMPREENDIMENTOS'!BJ$11,SUM(BJ$41:BJ50)*(1-'DADOS DOS EMPREENDIMENTOS'!#REF!-'DADOS DOS EMPREENDIMENTOS'!#REF!)+'DADOS DOS EMPREENDIMENTOS'!#REF!,IF(BH50='DADOS DOS EMPREENDIMENTOS'!#REF!,'DADOS DOS EMPREENDIMENTOS'!#REF!,BJ50*(1-'DADOS DOS EMPREENDIMENTOS'!#REF!-'DADOS DOS EMPREENDIMENTOS'!#REF!))))</f>
        <v>#REF!</v>
      </c>
      <c r="BM50" s="45">
        <v>9</v>
      </c>
      <c r="BN50" s="26">
        <v>40210</v>
      </c>
      <c r="BO50" s="8">
        <v>4.5700000205209423E-2</v>
      </c>
      <c r="BP50" s="56" t="e">
        <f>IF(BM50&lt;'DADOS DOS EMPREENDIMENTOS'!BO$11,0,IF(BM50='DADOS DOS EMPREENDIMENTOS'!BO$11,SUM(BO$41:BO50)*(1-'DADOS DOS EMPREENDIMENTOS'!#REF!-'DADOS DOS EMPREENDIMENTOS'!#REF!)+'DADOS DOS EMPREENDIMENTOS'!#REF!,IF(BM50='DADOS DOS EMPREENDIMENTOS'!BO$12,'DADOS DOS EMPREENDIMENTOS'!#REF!,BO50*(1-'DADOS DOS EMPREENDIMENTOS'!#REF!-'DADOS DOS EMPREENDIMENTOS'!#REF!))))</f>
        <v>#REF!</v>
      </c>
      <c r="BR50" s="45">
        <v>9</v>
      </c>
      <c r="BS50" s="26">
        <v>40210</v>
      </c>
      <c r="BT50" s="8">
        <v>4.5700000205209423E-2</v>
      </c>
      <c r="BU50" s="56" t="e">
        <f>IF(BR50&lt;'DADOS DOS EMPREENDIMENTOS'!BT$11,0,IF(BR50='DADOS DOS EMPREENDIMENTOS'!BT$11,SUM(BT$41:BT50)*(1-'DADOS DOS EMPREENDIMENTOS'!#REF!-'DADOS DOS EMPREENDIMENTOS'!#REF!)+'DADOS DOS EMPREENDIMENTOS'!#REF!,IF(BR50='DADOS DOS EMPREENDIMENTOS'!BT$12,'DADOS DOS EMPREENDIMENTOS'!#REF!,BT50*(1-'DADOS DOS EMPREENDIMENTOS'!#REF!-'DADOS DOS EMPREENDIMENTOS'!#REF!))))</f>
        <v>#REF!</v>
      </c>
      <c r="BW50" s="45">
        <v>9</v>
      </c>
      <c r="BX50" s="26">
        <v>40210</v>
      </c>
      <c r="BY50" s="8">
        <v>4.5700000205209423E-2</v>
      </c>
      <c r="BZ50" s="56" t="e">
        <f>IF(BW50&lt;'DADOS DOS EMPREENDIMENTOS'!BY$11,0,IF(BW50='DADOS DOS EMPREENDIMENTOS'!BY$11,SUM(BY$41:BY50)*(1-'DADOS DOS EMPREENDIMENTOS'!#REF!-'DADOS DOS EMPREENDIMENTOS'!#REF!)+'DADOS DOS EMPREENDIMENTOS'!#REF!,IF(BW50='DADOS DOS EMPREENDIMENTOS'!BY$12,'DADOS DOS EMPREENDIMENTOS'!#REF!,BY50*(1-'DADOS DOS EMPREENDIMENTOS'!#REF!-'DADOS DOS EMPREENDIMENTOS'!#REF!))))</f>
        <v>#REF!</v>
      </c>
      <c r="CB50" s="45">
        <v>9</v>
      </c>
      <c r="CC50" s="26">
        <v>40210</v>
      </c>
      <c r="CD50" s="8">
        <v>4.5700000205209423E-2</v>
      </c>
      <c r="CE50" s="56" t="e">
        <f>IF(CB50&lt;'DADOS DOS EMPREENDIMENTOS'!CD$11,0,IF(CB50='DADOS DOS EMPREENDIMENTOS'!CD$11,SUM(CD$41:CD50)*(1-'DADOS DOS EMPREENDIMENTOS'!#REF!-'DADOS DOS EMPREENDIMENTOS'!#REF!)+'DADOS DOS EMPREENDIMENTOS'!#REF!,IF(CB50='DADOS DOS EMPREENDIMENTOS'!CD$12,'DADOS DOS EMPREENDIMENTOS'!#REF!,CD50*(1-'DADOS DOS EMPREENDIMENTOS'!#REF!-'DADOS DOS EMPREENDIMENTOS'!#REF!))))</f>
        <v>#REF!</v>
      </c>
      <c r="CG50" s="45"/>
      <c r="CH50" s="26"/>
      <c r="CI50" s="8"/>
      <c r="CJ50" s="56"/>
    </row>
    <row r="51" spans="15:88" ht="12.75" customHeight="1" thickBot="1" x14ac:dyDescent="0.25">
      <c r="O51" s="38">
        <v>36</v>
      </c>
      <c r="P51" s="341" t="s">
        <v>257</v>
      </c>
      <c r="Q51" s="344">
        <f>VLOOKUP(P51,Apoio!C:E,2,0)</f>
        <v>239742.3</v>
      </c>
      <c r="R51" s="343">
        <v>220000</v>
      </c>
      <c r="S51" s="206">
        <v>5</v>
      </c>
      <c r="T51" s="45">
        <v>10</v>
      </c>
      <c r="U51" s="26"/>
      <c r="V51" s="8"/>
      <c r="W51" s="56"/>
      <c r="Y51" s="45">
        <v>10</v>
      </c>
      <c r="Z51" s="26"/>
      <c r="AA51" s="8"/>
      <c r="AB51" s="56"/>
      <c r="AD51" s="45">
        <v>10</v>
      </c>
      <c r="AE51" s="26">
        <v>40238</v>
      </c>
      <c r="AF51" s="8">
        <v>4.9899999900495845E-2</v>
      </c>
      <c r="AG51" s="56" t="e">
        <f>IF(AD51&lt;'DADOS DOS EMPREENDIMENTOS'!AF$11,0,IF(AD51='DADOS DOS EMPREENDIMENTOS'!AF$11,SUM(AF$41:AF51)*(1-'DADOS DOS EMPREENDIMENTOS'!#REF!-'DADOS DOS EMPREENDIMENTOS'!#REF!)+'DADOS DOS EMPREENDIMENTOS'!#REF!,IF(AD51='DADOS DOS EMPREENDIMENTOS'!#REF!,'DADOS DOS EMPREENDIMENTOS'!#REF!,AF51*(1-'DADOS DOS EMPREENDIMENTOS'!#REF!-'DADOS DOS EMPREENDIMENTOS'!#REF!))))</f>
        <v>#REF!</v>
      </c>
      <c r="AI51" s="45">
        <v>10</v>
      </c>
      <c r="AJ51" s="26">
        <v>40238</v>
      </c>
      <c r="AK51" s="8">
        <v>4.9899999900495845E-2</v>
      </c>
      <c r="AL51" s="56" t="e">
        <f>IF(AI51&lt;'DADOS DOS EMPREENDIMENTOS'!AK$11,0,IF(AI51='DADOS DOS EMPREENDIMENTOS'!AK$11,SUM(AK$41:AK51)*(1-'DADOS DOS EMPREENDIMENTOS'!#REF!-'DADOS DOS EMPREENDIMENTOS'!#REF!)+'DADOS DOS EMPREENDIMENTOS'!#REF!,IF(AI51='DADOS DOS EMPREENDIMENTOS'!#REF!,'DADOS DOS EMPREENDIMENTOS'!#REF!,AK51*(1-'DADOS DOS EMPREENDIMENTOS'!#REF!-'DADOS DOS EMPREENDIMENTOS'!#REF!))))</f>
        <v>#REF!</v>
      </c>
      <c r="AN51" s="45">
        <v>10</v>
      </c>
      <c r="AO51" s="26">
        <v>40238</v>
      </c>
      <c r="AP51" s="8">
        <v>4.9899999900495845E-2</v>
      </c>
      <c r="AQ51" s="56" t="e">
        <f>IF(AN51&lt;'DADOS DOS EMPREENDIMENTOS'!AP$11,0,IF(AN51='DADOS DOS EMPREENDIMENTOS'!AP$11,SUM(AP$41:AP51)*(1-'DADOS DOS EMPREENDIMENTOS'!#REF!-'DADOS DOS EMPREENDIMENTOS'!#REF!)+'DADOS DOS EMPREENDIMENTOS'!#REF!,IF(AN51='DADOS DOS EMPREENDIMENTOS'!#REF!,'DADOS DOS EMPREENDIMENTOS'!#REF!,AP51*(1-'DADOS DOS EMPREENDIMENTOS'!#REF!-'DADOS DOS EMPREENDIMENTOS'!#REF!))))</f>
        <v>#REF!</v>
      </c>
      <c r="AS51" s="45">
        <v>10</v>
      </c>
      <c r="AT51" s="26">
        <v>40238</v>
      </c>
      <c r="AU51" s="8">
        <v>4.9899999900495845E-2</v>
      </c>
      <c r="AV51" s="56" t="e">
        <f>IF(AS51&lt;'DADOS DOS EMPREENDIMENTOS'!AU$11,0,IF(AS51='DADOS DOS EMPREENDIMENTOS'!AU$11,SUM(AU$41:AU51)*(1-'DADOS DOS EMPREENDIMENTOS'!#REF!-'DADOS DOS EMPREENDIMENTOS'!#REF!)+'DADOS DOS EMPREENDIMENTOS'!#REF!,IF(AS51='DADOS DOS EMPREENDIMENTOS'!#REF!,'DADOS DOS EMPREENDIMENTOS'!#REF!,AU51*(1-'DADOS DOS EMPREENDIMENTOS'!#REF!-'DADOS DOS EMPREENDIMENTOS'!#REF!))))</f>
        <v>#REF!</v>
      </c>
      <c r="AX51" s="45">
        <v>10</v>
      </c>
      <c r="AY51" s="26">
        <v>40238</v>
      </c>
      <c r="AZ51" s="8">
        <v>4.9899999900495845E-2</v>
      </c>
      <c r="BA51" s="56" t="e">
        <f>IF(AX51&lt;'DADOS DOS EMPREENDIMENTOS'!AZ$11,0,IF(AX51='DADOS DOS EMPREENDIMENTOS'!AZ$11,SUM(AZ$41:AZ51)*(1-'DADOS DOS EMPREENDIMENTOS'!#REF!-'DADOS DOS EMPREENDIMENTOS'!#REF!)+'DADOS DOS EMPREENDIMENTOS'!#REF!,IF(AX51='DADOS DOS EMPREENDIMENTOS'!#REF!,'DADOS DOS EMPREENDIMENTOS'!#REF!,AZ51*(1-'DADOS DOS EMPREENDIMENTOS'!#REF!-'DADOS DOS EMPREENDIMENTOS'!#REF!))))</f>
        <v>#REF!</v>
      </c>
      <c r="BC51" s="45">
        <v>10</v>
      </c>
      <c r="BD51" s="26">
        <v>40238</v>
      </c>
      <c r="BE51" s="8">
        <v>4.9899999900495845E-2</v>
      </c>
      <c r="BF51" s="56" t="e">
        <f>IF(BC51&lt;'DADOS DOS EMPREENDIMENTOS'!BE$11,0,IF(BC51='DADOS DOS EMPREENDIMENTOS'!BE$11,SUM(BE$41:BE51)*(1-'DADOS DOS EMPREENDIMENTOS'!#REF!-'DADOS DOS EMPREENDIMENTOS'!#REF!)+'DADOS DOS EMPREENDIMENTOS'!#REF!,IF(BC51='DADOS DOS EMPREENDIMENTOS'!#REF!,'DADOS DOS EMPREENDIMENTOS'!#REF!,BE51*(1-'DADOS DOS EMPREENDIMENTOS'!#REF!-'DADOS DOS EMPREENDIMENTOS'!#REF!))))</f>
        <v>#REF!</v>
      </c>
      <c r="BH51" s="45">
        <v>10</v>
      </c>
      <c r="BI51" s="26">
        <v>40238</v>
      </c>
      <c r="BJ51" s="8">
        <v>4.9899999900495845E-2</v>
      </c>
      <c r="BK51" s="56" t="e">
        <f>IF(BH51&lt;'DADOS DOS EMPREENDIMENTOS'!BJ$11,0,IF(BH51='DADOS DOS EMPREENDIMENTOS'!BJ$11,SUM(BJ$41:BJ51)*(1-'DADOS DOS EMPREENDIMENTOS'!#REF!-'DADOS DOS EMPREENDIMENTOS'!#REF!)+'DADOS DOS EMPREENDIMENTOS'!#REF!,IF(BH51='DADOS DOS EMPREENDIMENTOS'!#REF!,'DADOS DOS EMPREENDIMENTOS'!#REF!,BJ51*(1-'DADOS DOS EMPREENDIMENTOS'!#REF!-'DADOS DOS EMPREENDIMENTOS'!#REF!))))</f>
        <v>#REF!</v>
      </c>
      <c r="BM51" s="45">
        <v>10</v>
      </c>
      <c r="BN51" s="26">
        <v>40238</v>
      </c>
      <c r="BO51" s="8">
        <v>4.9899999900495845E-2</v>
      </c>
      <c r="BP51" s="56" t="e">
        <f>IF(BM51&lt;'DADOS DOS EMPREENDIMENTOS'!BO$11,0,IF(BM51='DADOS DOS EMPREENDIMENTOS'!BO$11,SUM(BO$41:BO51)*(1-'DADOS DOS EMPREENDIMENTOS'!#REF!-'DADOS DOS EMPREENDIMENTOS'!#REF!)+'DADOS DOS EMPREENDIMENTOS'!#REF!,IF(BM51='DADOS DOS EMPREENDIMENTOS'!BO$12,'DADOS DOS EMPREENDIMENTOS'!#REF!,BO51*(1-'DADOS DOS EMPREENDIMENTOS'!#REF!-'DADOS DOS EMPREENDIMENTOS'!#REF!))))</f>
        <v>#REF!</v>
      </c>
      <c r="BR51" s="45">
        <v>10</v>
      </c>
      <c r="BS51" s="26">
        <v>40238</v>
      </c>
      <c r="BT51" s="8">
        <v>4.9899999900495845E-2</v>
      </c>
      <c r="BU51" s="56" t="e">
        <f>IF(BR51&lt;'DADOS DOS EMPREENDIMENTOS'!BT$11,0,IF(BR51='DADOS DOS EMPREENDIMENTOS'!BT$11,SUM(BT$41:BT51)*(1-'DADOS DOS EMPREENDIMENTOS'!#REF!-'DADOS DOS EMPREENDIMENTOS'!#REF!)+'DADOS DOS EMPREENDIMENTOS'!#REF!,IF(BR51='DADOS DOS EMPREENDIMENTOS'!BT$12,'DADOS DOS EMPREENDIMENTOS'!#REF!,BT51*(1-'DADOS DOS EMPREENDIMENTOS'!#REF!-'DADOS DOS EMPREENDIMENTOS'!#REF!))))</f>
        <v>#REF!</v>
      </c>
      <c r="BW51" s="45">
        <v>10</v>
      </c>
      <c r="BX51" s="26">
        <v>40238</v>
      </c>
      <c r="BY51" s="8">
        <v>4.9899999900495845E-2</v>
      </c>
      <c r="BZ51" s="56" t="e">
        <f>IF(BW51&lt;'DADOS DOS EMPREENDIMENTOS'!BY$11,0,IF(BW51='DADOS DOS EMPREENDIMENTOS'!BY$11,SUM(BY$41:BY51)*(1-'DADOS DOS EMPREENDIMENTOS'!#REF!-'DADOS DOS EMPREENDIMENTOS'!#REF!)+'DADOS DOS EMPREENDIMENTOS'!#REF!,IF(BW51='DADOS DOS EMPREENDIMENTOS'!BY$12,'DADOS DOS EMPREENDIMENTOS'!#REF!,BY51*(1-'DADOS DOS EMPREENDIMENTOS'!#REF!-'DADOS DOS EMPREENDIMENTOS'!#REF!))))</f>
        <v>#REF!</v>
      </c>
      <c r="CB51" s="45">
        <v>10</v>
      </c>
      <c r="CC51" s="26">
        <v>40238</v>
      </c>
      <c r="CD51" s="8">
        <v>4.9899999900495845E-2</v>
      </c>
      <c r="CE51" s="56" t="e">
        <f>IF(CB51&lt;'DADOS DOS EMPREENDIMENTOS'!CD$11,0,IF(CB51='DADOS DOS EMPREENDIMENTOS'!CD$11,SUM(CD$41:CD51)*(1-'DADOS DOS EMPREENDIMENTOS'!#REF!-'DADOS DOS EMPREENDIMENTOS'!#REF!)+'DADOS DOS EMPREENDIMENTOS'!#REF!,IF(CB51='DADOS DOS EMPREENDIMENTOS'!CD$12,'DADOS DOS EMPREENDIMENTOS'!#REF!,CD51*(1-'DADOS DOS EMPREENDIMENTOS'!#REF!-'DADOS DOS EMPREENDIMENTOS'!#REF!))))</f>
        <v>#REF!</v>
      </c>
      <c r="CG51" s="45"/>
      <c r="CH51" s="26"/>
      <c r="CI51" s="8"/>
      <c r="CJ51" s="56"/>
    </row>
    <row r="52" spans="15:88" ht="12.75" customHeight="1" thickBot="1" x14ac:dyDescent="0.25">
      <c r="O52" s="36">
        <v>37</v>
      </c>
      <c r="P52" s="341" t="s">
        <v>258</v>
      </c>
      <c r="Q52" s="344">
        <f>VLOOKUP(P52,Apoio!C:E,2,0)</f>
        <v>239742.3</v>
      </c>
      <c r="R52" s="343">
        <v>220000</v>
      </c>
      <c r="S52" s="206">
        <v>5</v>
      </c>
      <c r="T52" s="45">
        <v>11</v>
      </c>
      <c r="U52" s="26"/>
      <c r="V52" s="8"/>
      <c r="W52" s="56"/>
      <c r="Y52" s="45">
        <v>11</v>
      </c>
      <c r="Z52" s="26"/>
      <c r="AA52" s="8"/>
      <c r="AB52" s="56"/>
      <c r="AD52" s="45">
        <v>11</v>
      </c>
      <c r="AE52" s="26">
        <v>40269</v>
      </c>
      <c r="AF52" s="8">
        <v>5.7199999961457637E-2</v>
      </c>
      <c r="AG52" s="56" t="e">
        <f>IF(AD52&lt;'DADOS DOS EMPREENDIMENTOS'!AF$11,0,IF(AD52='DADOS DOS EMPREENDIMENTOS'!AF$11,SUM(AF$41:AF52)*(1-'DADOS DOS EMPREENDIMENTOS'!#REF!-'DADOS DOS EMPREENDIMENTOS'!#REF!)+'DADOS DOS EMPREENDIMENTOS'!#REF!,IF(AD52='DADOS DOS EMPREENDIMENTOS'!#REF!,'DADOS DOS EMPREENDIMENTOS'!#REF!,AF52*(1-'DADOS DOS EMPREENDIMENTOS'!#REF!-'DADOS DOS EMPREENDIMENTOS'!#REF!))))</f>
        <v>#REF!</v>
      </c>
      <c r="AI52" s="45">
        <v>11</v>
      </c>
      <c r="AJ52" s="26">
        <v>40269</v>
      </c>
      <c r="AK52" s="8">
        <v>5.7199999961457637E-2</v>
      </c>
      <c r="AL52" s="56" t="e">
        <f>IF(AI52&lt;'DADOS DOS EMPREENDIMENTOS'!AK$11,0,IF(AI52='DADOS DOS EMPREENDIMENTOS'!AK$11,SUM(AK$41:AK52)*(1-'DADOS DOS EMPREENDIMENTOS'!#REF!-'DADOS DOS EMPREENDIMENTOS'!#REF!)+'DADOS DOS EMPREENDIMENTOS'!#REF!,IF(AI52='DADOS DOS EMPREENDIMENTOS'!#REF!,'DADOS DOS EMPREENDIMENTOS'!#REF!,AK52*(1-'DADOS DOS EMPREENDIMENTOS'!#REF!-'DADOS DOS EMPREENDIMENTOS'!#REF!))))</f>
        <v>#REF!</v>
      </c>
      <c r="AN52" s="45">
        <v>11</v>
      </c>
      <c r="AO52" s="26">
        <v>40269</v>
      </c>
      <c r="AP52" s="8">
        <v>5.7199999961457637E-2</v>
      </c>
      <c r="AQ52" s="56" t="e">
        <f>IF(AN52&lt;'DADOS DOS EMPREENDIMENTOS'!AP$11,0,IF(AN52='DADOS DOS EMPREENDIMENTOS'!AP$11,SUM(AP$41:AP52)*(1-'DADOS DOS EMPREENDIMENTOS'!#REF!-'DADOS DOS EMPREENDIMENTOS'!#REF!)+'DADOS DOS EMPREENDIMENTOS'!#REF!,IF(AN52='DADOS DOS EMPREENDIMENTOS'!#REF!,'DADOS DOS EMPREENDIMENTOS'!#REF!,AP52*(1-'DADOS DOS EMPREENDIMENTOS'!#REF!-'DADOS DOS EMPREENDIMENTOS'!#REF!))))</f>
        <v>#REF!</v>
      </c>
      <c r="AS52" s="45">
        <v>11</v>
      </c>
      <c r="AT52" s="26">
        <v>40269</v>
      </c>
      <c r="AU52" s="8">
        <v>5.7199999961457637E-2</v>
      </c>
      <c r="AV52" s="56" t="e">
        <f>IF(AS52&lt;'DADOS DOS EMPREENDIMENTOS'!AU$11,0,IF(AS52='DADOS DOS EMPREENDIMENTOS'!AU$11,SUM(AU$41:AU52)*(1-'DADOS DOS EMPREENDIMENTOS'!#REF!-'DADOS DOS EMPREENDIMENTOS'!#REF!)+'DADOS DOS EMPREENDIMENTOS'!#REF!,IF(AS52='DADOS DOS EMPREENDIMENTOS'!#REF!,'DADOS DOS EMPREENDIMENTOS'!#REF!,AU52*(1-'DADOS DOS EMPREENDIMENTOS'!#REF!-'DADOS DOS EMPREENDIMENTOS'!#REF!))))</f>
        <v>#REF!</v>
      </c>
      <c r="AX52" s="45">
        <v>11</v>
      </c>
      <c r="AY52" s="26">
        <v>40269</v>
      </c>
      <c r="AZ52" s="8">
        <v>5.7199999961457637E-2</v>
      </c>
      <c r="BA52" s="56" t="e">
        <f>IF(AX52&lt;'DADOS DOS EMPREENDIMENTOS'!AZ$11,0,IF(AX52='DADOS DOS EMPREENDIMENTOS'!AZ$11,SUM(AZ$41:AZ52)*(1-'DADOS DOS EMPREENDIMENTOS'!#REF!-'DADOS DOS EMPREENDIMENTOS'!#REF!)+'DADOS DOS EMPREENDIMENTOS'!#REF!,IF(AX52='DADOS DOS EMPREENDIMENTOS'!#REF!,'DADOS DOS EMPREENDIMENTOS'!#REF!,AZ52*(1-'DADOS DOS EMPREENDIMENTOS'!#REF!-'DADOS DOS EMPREENDIMENTOS'!#REF!))))</f>
        <v>#REF!</v>
      </c>
      <c r="BC52" s="45">
        <v>11</v>
      </c>
      <c r="BD52" s="26">
        <v>40269</v>
      </c>
      <c r="BE52" s="8">
        <v>5.7199999961457637E-2</v>
      </c>
      <c r="BF52" s="56" t="e">
        <f>IF(BC52&lt;'DADOS DOS EMPREENDIMENTOS'!BE$11,0,IF(BC52='DADOS DOS EMPREENDIMENTOS'!BE$11,SUM(BE$41:BE52)*(1-'DADOS DOS EMPREENDIMENTOS'!#REF!-'DADOS DOS EMPREENDIMENTOS'!#REF!)+'DADOS DOS EMPREENDIMENTOS'!#REF!,IF(BC52='DADOS DOS EMPREENDIMENTOS'!#REF!,'DADOS DOS EMPREENDIMENTOS'!#REF!,BE52*(1-'DADOS DOS EMPREENDIMENTOS'!#REF!-'DADOS DOS EMPREENDIMENTOS'!#REF!))))</f>
        <v>#REF!</v>
      </c>
      <c r="BH52" s="45">
        <v>11</v>
      </c>
      <c r="BI52" s="26">
        <v>40269</v>
      </c>
      <c r="BJ52" s="8">
        <v>5.7199999961457637E-2</v>
      </c>
      <c r="BK52" s="56" t="e">
        <f>IF(BH52&lt;'DADOS DOS EMPREENDIMENTOS'!BJ$11,0,IF(BH52='DADOS DOS EMPREENDIMENTOS'!BJ$11,SUM(BJ$41:BJ52)*(1-'DADOS DOS EMPREENDIMENTOS'!#REF!-'DADOS DOS EMPREENDIMENTOS'!#REF!)+'DADOS DOS EMPREENDIMENTOS'!#REF!,IF(BH52='DADOS DOS EMPREENDIMENTOS'!#REF!,'DADOS DOS EMPREENDIMENTOS'!#REF!,BJ52*(1-'DADOS DOS EMPREENDIMENTOS'!#REF!-'DADOS DOS EMPREENDIMENTOS'!#REF!))))</f>
        <v>#REF!</v>
      </c>
      <c r="BM52" s="45">
        <v>11</v>
      </c>
      <c r="BN52" s="26">
        <v>40269</v>
      </c>
      <c r="BO52" s="8">
        <v>5.7199999961457637E-2</v>
      </c>
      <c r="BP52" s="56" t="e">
        <f>IF(BM52&lt;'DADOS DOS EMPREENDIMENTOS'!BO$11,0,IF(BM52='DADOS DOS EMPREENDIMENTOS'!BO$11,SUM(BO$41:BO52)*(1-'DADOS DOS EMPREENDIMENTOS'!#REF!-'DADOS DOS EMPREENDIMENTOS'!#REF!)+'DADOS DOS EMPREENDIMENTOS'!#REF!,IF(BM52='DADOS DOS EMPREENDIMENTOS'!BO$12,'DADOS DOS EMPREENDIMENTOS'!#REF!,BO52*(1-'DADOS DOS EMPREENDIMENTOS'!#REF!-'DADOS DOS EMPREENDIMENTOS'!#REF!))))</f>
        <v>#REF!</v>
      </c>
      <c r="BR52" s="45">
        <v>11</v>
      </c>
      <c r="BS52" s="26">
        <v>40269</v>
      </c>
      <c r="BT52" s="8">
        <v>5.7199999961457637E-2</v>
      </c>
      <c r="BU52" s="56" t="e">
        <f>IF(BR52&lt;'DADOS DOS EMPREENDIMENTOS'!BT$11,0,IF(BR52='DADOS DOS EMPREENDIMENTOS'!BT$11,SUM(BT$41:BT52)*(1-'DADOS DOS EMPREENDIMENTOS'!#REF!-'DADOS DOS EMPREENDIMENTOS'!#REF!)+'DADOS DOS EMPREENDIMENTOS'!#REF!,IF(BR52='DADOS DOS EMPREENDIMENTOS'!BT$12,'DADOS DOS EMPREENDIMENTOS'!#REF!,BT52*(1-'DADOS DOS EMPREENDIMENTOS'!#REF!-'DADOS DOS EMPREENDIMENTOS'!#REF!))))</f>
        <v>#REF!</v>
      </c>
      <c r="BW52" s="45">
        <v>11</v>
      </c>
      <c r="BX52" s="26">
        <v>40269</v>
      </c>
      <c r="BY52" s="8">
        <v>5.7199999961457637E-2</v>
      </c>
      <c r="BZ52" s="56" t="e">
        <f>IF(BW52&lt;'DADOS DOS EMPREENDIMENTOS'!BY$11,0,IF(BW52='DADOS DOS EMPREENDIMENTOS'!BY$11,SUM(BY$41:BY52)*(1-'DADOS DOS EMPREENDIMENTOS'!#REF!-'DADOS DOS EMPREENDIMENTOS'!#REF!)+'DADOS DOS EMPREENDIMENTOS'!#REF!,IF(BW52='DADOS DOS EMPREENDIMENTOS'!BY$12,'DADOS DOS EMPREENDIMENTOS'!#REF!,BY52*(1-'DADOS DOS EMPREENDIMENTOS'!#REF!-'DADOS DOS EMPREENDIMENTOS'!#REF!))))</f>
        <v>#REF!</v>
      </c>
      <c r="CB52" s="45">
        <v>11</v>
      </c>
      <c r="CC52" s="26">
        <v>40269</v>
      </c>
      <c r="CD52" s="8">
        <v>5.7199999961457637E-2</v>
      </c>
      <c r="CE52" s="56" t="e">
        <f>IF(CB52&lt;'DADOS DOS EMPREENDIMENTOS'!CD$11,0,IF(CB52='DADOS DOS EMPREENDIMENTOS'!CD$11,SUM(CD$41:CD52)*(1-'DADOS DOS EMPREENDIMENTOS'!#REF!-'DADOS DOS EMPREENDIMENTOS'!#REF!)+'DADOS DOS EMPREENDIMENTOS'!#REF!,IF(CB52='DADOS DOS EMPREENDIMENTOS'!CD$12,'DADOS DOS EMPREENDIMENTOS'!#REF!,CD52*(1-'DADOS DOS EMPREENDIMENTOS'!#REF!-'DADOS DOS EMPREENDIMENTOS'!#REF!))))</f>
        <v>#REF!</v>
      </c>
      <c r="CG52" s="45"/>
      <c r="CH52" s="26"/>
      <c r="CI52" s="8"/>
      <c r="CJ52" s="56"/>
    </row>
    <row r="53" spans="15:88" ht="12.75" customHeight="1" thickBot="1" x14ac:dyDescent="0.25">
      <c r="O53" s="38">
        <v>38</v>
      </c>
      <c r="P53" s="341" t="s">
        <v>259</v>
      </c>
      <c r="Q53" s="344">
        <f>VLOOKUP(P53,Apoio!C:E,2,0)</f>
        <v>239240.1</v>
      </c>
      <c r="R53" s="343">
        <v>220000</v>
      </c>
      <c r="S53" s="206">
        <v>5</v>
      </c>
      <c r="T53" s="45">
        <v>12</v>
      </c>
      <c r="U53" s="26"/>
      <c r="V53" s="8"/>
      <c r="W53" s="56"/>
      <c r="Y53" s="45">
        <v>12</v>
      </c>
      <c r="Z53" s="26"/>
      <c r="AA53" s="8"/>
      <c r="AB53" s="56"/>
      <c r="AD53" s="45">
        <v>12</v>
      </c>
      <c r="AE53" s="26">
        <v>40299</v>
      </c>
      <c r="AF53" s="8">
        <v>6.7300000137283295E-2</v>
      </c>
      <c r="AG53" s="56" t="e">
        <f>IF(AD53&lt;'DADOS DOS EMPREENDIMENTOS'!AF$11,0,IF(AD53='DADOS DOS EMPREENDIMENTOS'!AF$11,SUM(AF$41:AF53)*(1-'DADOS DOS EMPREENDIMENTOS'!#REF!-'DADOS DOS EMPREENDIMENTOS'!#REF!)+'DADOS DOS EMPREENDIMENTOS'!#REF!,IF(AD53='DADOS DOS EMPREENDIMENTOS'!#REF!,'DADOS DOS EMPREENDIMENTOS'!#REF!,AF53*(1-'DADOS DOS EMPREENDIMENTOS'!#REF!-'DADOS DOS EMPREENDIMENTOS'!#REF!))))</f>
        <v>#REF!</v>
      </c>
      <c r="AI53" s="45">
        <v>12</v>
      </c>
      <c r="AJ53" s="26">
        <v>40299</v>
      </c>
      <c r="AK53" s="8">
        <v>6.7300000137283295E-2</v>
      </c>
      <c r="AL53" s="56" t="e">
        <f>IF(AI53&lt;'DADOS DOS EMPREENDIMENTOS'!AK$11,0,IF(AI53='DADOS DOS EMPREENDIMENTOS'!AK$11,SUM(AK$41:AK53)*(1-'DADOS DOS EMPREENDIMENTOS'!#REF!-'DADOS DOS EMPREENDIMENTOS'!#REF!)+'DADOS DOS EMPREENDIMENTOS'!#REF!,IF(AI53='DADOS DOS EMPREENDIMENTOS'!#REF!,'DADOS DOS EMPREENDIMENTOS'!#REF!,AK53*(1-'DADOS DOS EMPREENDIMENTOS'!#REF!-'DADOS DOS EMPREENDIMENTOS'!#REF!))))</f>
        <v>#REF!</v>
      </c>
      <c r="AN53" s="45">
        <v>12</v>
      </c>
      <c r="AO53" s="26">
        <v>40299</v>
      </c>
      <c r="AP53" s="8">
        <v>6.7300000137283295E-2</v>
      </c>
      <c r="AQ53" s="56" t="e">
        <f>IF(AN53&lt;'DADOS DOS EMPREENDIMENTOS'!AP$11,0,IF(AN53='DADOS DOS EMPREENDIMENTOS'!AP$11,SUM(AP$41:AP53)*(1-'DADOS DOS EMPREENDIMENTOS'!#REF!-'DADOS DOS EMPREENDIMENTOS'!#REF!)+'DADOS DOS EMPREENDIMENTOS'!#REF!,IF(AN53='DADOS DOS EMPREENDIMENTOS'!#REF!,'DADOS DOS EMPREENDIMENTOS'!#REF!,AP53*(1-'DADOS DOS EMPREENDIMENTOS'!#REF!-'DADOS DOS EMPREENDIMENTOS'!#REF!))))</f>
        <v>#REF!</v>
      </c>
      <c r="AS53" s="45">
        <v>12</v>
      </c>
      <c r="AT53" s="26">
        <v>40299</v>
      </c>
      <c r="AU53" s="8">
        <v>6.7300000137283295E-2</v>
      </c>
      <c r="AV53" s="56" t="e">
        <f>IF(AS53&lt;'DADOS DOS EMPREENDIMENTOS'!AU$11,0,IF(AS53='DADOS DOS EMPREENDIMENTOS'!AU$11,SUM(AU$41:AU53)*(1-'DADOS DOS EMPREENDIMENTOS'!#REF!-'DADOS DOS EMPREENDIMENTOS'!#REF!)+'DADOS DOS EMPREENDIMENTOS'!#REF!,IF(AS53='DADOS DOS EMPREENDIMENTOS'!#REF!,'DADOS DOS EMPREENDIMENTOS'!#REF!,AU53*(1-'DADOS DOS EMPREENDIMENTOS'!#REF!-'DADOS DOS EMPREENDIMENTOS'!#REF!))))</f>
        <v>#REF!</v>
      </c>
      <c r="AX53" s="45">
        <v>12</v>
      </c>
      <c r="AY53" s="26">
        <v>40299</v>
      </c>
      <c r="AZ53" s="8">
        <v>6.7300000137283295E-2</v>
      </c>
      <c r="BA53" s="56" t="e">
        <f>IF(AX53&lt;'DADOS DOS EMPREENDIMENTOS'!AZ$11,0,IF(AX53='DADOS DOS EMPREENDIMENTOS'!AZ$11,SUM(AZ$41:AZ53)*(1-'DADOS DOS EMPREENDIMENTOS'!#REF!-'DADOS DOS EMPREENDIMENTOS'!#REF!)+'DADOS DOS EMPREENDIMENTOS'!#REF!,IF(AX53='DADOS DOS EMPREENDIMENTOS'!#REF!,'DADOS DOS EMPREENDIMENTOS'!#REF!,AZ53*(1-'DADOS DOS EMPREENDIMENTOS'!#REF!-'DADOS DOS EMPREENDIMENTOS'!#REF!))))</f>
        <v>#REF!</v>
      </c>
      <c r="BC53" s="45">
        <v>12</v>
      </c>
      <c r="BD53" s="26">
        <v>40299</v>
      </c>
      <c r="BE53" s="8">
        <v>6.7300000137283295E-2</v>
      </c>
      <c r="BF53" s="56" t="e">
        <f>IF(BC53&lt;'DADOS DOS EMPREENDIMENTOS'!BE$11,0,IF(BC53='DADOS DOS EMPREENDIMENTOS'!BE$11,SUM(BE$41:BE53)*(1-'DADOS DOS EMPREENDIMENTOS'!#REF!-'DADOS DOS EMPREENDIMENTOS'!#REF!)+'DADOS DOS EMPREENDIMENTOS'!#REF!,IF(BC53='DADOS DOS EMPREENDIMENTOS'!#REF!,'DADOS DOS EMPREENDIMENTOS'!#REF!,BE53*(1-'DADOS DOS EMPREENDIMENTOS'!#REF!-'DADOS DOS EMPREENDIMENTOS'!#REF!))))</f>
        <v>#REF!</v>
      </c>
      <c r="BH53" s="45">
        <v>12</v>
      </c>
      <c r="BI53" s="26">
        <v>40299</v>
      </c>
      <c r="BJ53" s="8">
        <v>6.7300000137283295E-2</v>
      </c>
      <c r="BK53" s="56" t="e">
        <f>IF(BH53&lt;'DADOS DOS EMPREENDIMENTOS'!BJ$11,0,IF(BH53='DADOS DOS EMPREENDIMENTOS'!BJ$11,SUM(BJ$41:BJ53)*(1-'DADOS DOS EMPREENDIMENTOS'!#REF!-'DADOS DOS EMPREENDIMENTOS'!#REF!)+'DADOS DOS EMPREENDIMENTOS'!#REF!,IF(BH53='DADOS DOS EMPREENDIMENTOS'!#REF!,'DADOS DOS EMPREENDIMENTOS'!#REF!,BJ53*(1-'DADOS DOS EMPREENDIMENTOS'!#REF!-'DADOS DOS EMPREENDIMENTOS'!#REF!))))</f>
        <v>#REF!</v>
      </c>
      <c r="BM53" s="45">
        <v>12</v>
      </c>
      <c r="BN53" s="26">
        <v>40299</v>
      </c>
      <c r="BO53" s="8">
        <v>6.7300000137283295E-2</v>
      </c>
      <c r="BP53" s="56" t="e">
        <f>IF(BM53&lt;'DADOS DOS EMPREENDIMENTOS'!BO$11,0,IF(BM53='DADOS DOS EMPREENDIMENTOS'!BO$11,SUM(BO$41:BO53)*(1-'DADOS DOS EMPREENDIMENTOS'!#REF!-'DADOS DOS EMPREENDIMENTOS'!#REF!)+'DADOS DOS EMPREENDIMENTOS'!#REF!,IF(BM53='DADOS DOS EMPREENDIMENTOS'!BO$12,'DADOS DOS EMPREENDIMENTOS'!#REF!,BO53*(1-'DADOS DOS EMPREENDIMENTOS'!#REF!-'DADOS DOS EMPREENDIMENTOS'!#REF!))))</f>
        <v>#REF!</v>
      </c>
      <c r="BR53" s="45">
        <v>12</v>
      </c>
      <c r="BS53" s="26">
        <v>40299</v>
      </c>
      <c r="BT53" s="8">
        <v>6.7300000137283295E-2</v>
      </c>
      <c r="BU53" s="56" t="e">
        <f>IF(BR53&lt;'DADOS DOS EMPREENDIMENTOS'!BT$11,0,IF(BR53='DADOS DOS EMPREENDIMENTOS'!BT$11,SUM(BT$41:BT53)*(1-'DADOS DOS EMPREENDIMENTOS'!#REF!-'DADOS DOS EMPREENDIMENTOS'!#REF!)+'DADOS DOS EMPREENDIMENTOS'!#REF!,IF(BR53='DADOS DOS EMPREENDIMENTOS'!BT$12,'DADOS DOS EMPREENDIMENTOS'!#REF!,BT53*(1-'DADOS DOS EMPREENDIMENTOS'!#REF!-'DADOS DOS EMPREENDIMENTOS'!#REF!))))</f>
        <v>#REF!</v>
      </c>
      <c r="BW53" s="45">
        <v>12</v>
      </c>
      <c r="BX53" s="26">
        <v>40299</v>
      </c>
      <c r="BY53" s="8">
        <v>6.7300000137283295E-2</v>
      </c>
      <c r="BZ53" s="56" t="e">
        <f>IF(BW53&lt;'DADOS DOS EMPREENDIMENTOS'!BY$11,0,IF(BW53='DADOS DOS EMPREENDIMENTOS'!BY$11,SUM(BY$41:BY53)*(1-'DADOS DOS EMPREENDIMENTOS'!#REF!-'DADOS DOS EMPREENDIMENTOS'!#REF!)+'DADOS DOS EMPREENDIMENTOS'!#REF!,IF(BW53='DADOS DOS EMPREENDIMENTOS'!BY$12,'DADOS DOS EMPREENDIMENTOS'!#REF!,BY53*(1-'DADOS DOS EMPREENDIMENTOS'!#REF!-'DADOS DOS EMPREENDIMENTOS'!#REF!))))</f>
        <v>#REF!</v>
      </c>
      <c r="CB53" s="45">
        <v>12</v>
      </c>
      <c r="CC53" s="26">
        <v>40299</v>
      </c>
      <c r="CD53" s="8">
        <v>6.7300000137283295E-2</v>
      </c>
      <c r="CE53" s="56" t="e">
        <f>IF(CB53&lt;'DADOS DOS EMPREENDIMENTOS'!CD$11,0,IF(CB53='DADOS DOS EMPREENDIMENTOS'!CD$11,SUM(CD$41:CD53)*(1-'DADOS DOS EMPREENDIMENTOS'!#REF!-'DADOS DOS EMPREENDIMENTOS'!#REF!)+'DADOS DOS EMPREENDIMENTOS'!#REF!,IF(CB53='DADOS DOS EMPREENDIMENTOS'!CD$12,'DADOS DOS EMPREENDIMENTOS'!#REF!,CD53*(1-'DADOS DOS EMPREENDIMENTOS'!#REF!-'DADOS DOS EMPREENDIMENTOS'!#REF!))))</f>
        <v>#REF!</v>
      </c>
      <c r="CG53" s="45"/>
      <c r="CH53" s="26"/>
      <c r="CI53" s="8"/>
      <c r="CJ53" s="56"/>
    </row>
    <row r="54" spans="15:88" ht="12.75" customHeight="1" thickBot="1" x14ac:dyDescent="0.25">
      <c r="O54" s="36">
        <v>39</v>
      </c>
      <c r="P54" s="341" t="s">
        <v>260</v>
      </c>
      <c r="Q54" s="344">
        <f>VLOOKUP(P54,Apoio!C:E,2,0)</f>
        <v>236871.8</v>
      </c>
      <c r="R54" s="343">
        <v>220000</v>
      </c>
      <c r="S54" s="206">
        <v>5</v>
      </c>
      <c r="T54" s="45">
        <v>13</v>
      </c>
      <c r="U54" s="26"/>
      <c r="V54" s="8"/>
      <c r="W54" s="56"/>
      <c r="Y54" s="45">
        <v>13</v>
      </c>
      <c r="Z54" s="26"/>
      <c r="AA54" s="8"/>
      <c r="AB54" s="56"/>
      <c r="AD54" s="45">
        <v>13</v>
      </c>
      <c r="AE54" s="26">
        <v>40330</v>
      </c>
      <c r="AF54" s="8">
        <v>8.6299999962697868E-2</v>
      </c>
      <c r="AG54" s="56" t="e">
        <f>IF(AD54&lt;'DADOS DOS EMPREENDIMENTOS'!AF$11,0,IF(AD54='DADOS DOS EMPREENDIMENTOS'!AF$11,SUM(AF$41:AF54)*(1-'DADOS DOS EMPREENDIMENTOS'!#REF!-'DADOS DOS EMPREENDIMENTOS'!#REF!)+'DADOS DOS EMPREENDIMENTOS'!#REF!,IF(AD54='DADOS DOS EMPREENDIMENTOS'!#REF!,'DADOS DOS EMPREENDIMENTOS'!#REF!,AF54*(1-'DADOS DOS EMPREENDIMENTOS'!#REF!-'DADOS DOS EMPREENDIMENTOS'!#REF!))))</f>
        <v>#REF!</v>
      </c>
      <c r="AI54" s="45">
        <v>13</v>
      </c>
      <c r="AJ54" s="26">
        <v>40330</v>
      </c>
      <c r="AK54" s="8">
        <v>8.6299999962697868E-2</v>
      </c>
      <c r="AL54" s="56" t="e">
        <f>IF(AI54&lt;'DADOS DOS EMPREENDIMENTOS'!AK$11,0,IF(AI54='DADOS DOS EMPREENDIMENTOS'!AK$11,SUM(AK$41:AK54)*(1-'DADOS DOS EMPREENDIMENTOS'!#REF!-'DADOS DOS EMPREENDIMENTOS'!#REF!)+'DADOS DOS EMPREENDIMENTOS'!#REF!,IF(AI54='DADOS DOS EMPREENDIMENTOS'!#REF!,'DADOS DOS EMPREENDIMENTOS'!#REF!,AK54*(1-'DADOS DOS EMPREENDIMENTOS'!#REF!-'DADOS DOS EMPREENDIMENTOS'!#REF!))))</f>
        <v>#REF!</v>
      </c>
      <c r="AN54" s="45">
        <v>13</v>
      </c>
      <c r="AO54" s="26">
        <v>40330</v>
      </c>
      <c r="AP54" s="8">
        <v>8.6299999962697868E-2</v>
      </c>
      <c r="AQ54" s="56" t="e">
        <f>IF(AN54&lt;'DADOS DOS EMPREENDIMENTOS'!AP$11,0,IF(AN54='DADOS DOS EMPREENDIMENTOS'!AP$11,SUM(AP$41:AP54)*(1-'DADOS DOS EMPREENDIMENTOS'!#REF!-'DADOS DOS EMPREENDIMENTOS'!#REF!)+'DADOS DOS EMPREENDIMENTOS'!#REF!,IF(AN54='DADOS DOS EMPREENDIMENTOS'!#REF!,'DADOS DOS EMPREENDIMENTOS'!#REF!,AP54*(1-'DADOS DOS EMPREENDIMENTOS'!#REF!-'DADOS DOS EMPREENDIMENTOS'!#REF!))))</f>
        <v>#REF!</v>
      </c>
      <c r="AS54" s="45">
        <v>13</v>
      </c>
      <c r="AT54" s="26">
        <v>40330</v>
      </c>
      <c r="AU54" s="8">
        <v>8.6299999962697868E-2</v>
      </c>
      <c r="AV54" s="56" t="e">
        <f>IF(AS54&lt;'DADOS DOS EMPREENDIMENTOS'!AU$11,0,IF(AS54='DADOS DOS EMPREENDIMENTOS'!AU$11,SUM(AU$41:AU54)*(1-'DADOS DOS EMPREENDIMENTOS'!#REF!-'DADOS DOS EMPREENDIMENTOS'!#REF!)+'DADOS DOS EMPREENDIMENTOS'!#REF!,IF(AS54='DADOS DOS EMPREENDIMENTOS'!#REF!,'DADOS DOS EMPREENDIMENTOS'!#REF!,AU54*(1-'DADOS DOS EMPREENDIMENTOS'!#REF!-'DADOS DOS EMPREENDIMENTOS'!#REF!))))</f>
        <v>#REF!</v>
      </c>
      <c r="AX54" s="45">
        <v>13</v>
      </c>
      <c r="AY54" s="26">
        <v>40330</v>
      </c>
      <c r="AZ54" s="8">
        <v>8.6299999962697868E-2</v>
      </c>
      <c r="BA54" s="56" t="e">
        <f>IF(AX54&lt;'DADOS DOS EMPREENDIMENTOS'!AZ$11,0,IF(AX54='DADOS DOS EMPREENDIMENTOS'!AZ$11,SUM(AZ$41:AZ54)*(1-'DADOS DOS EMPREENDIMENTOS'!#REF!-'DADOS DOS EMPREENDIMENTOS'!#REF!)+'DADOS DOS EMPREENDIMENTOS'!#REF!,IF(AX54='DADOS DOS EMPREENDIMENTOS'!#REF!,'DADOS DOS EMPREENDIMENTOS'!#REF!,AZ54*(1-'DADOS DOS EMPREENDIMENTOS'!#REF!-'DADOS DOS EMPREENDIMENTOS'!#REF!))))</f>
        <v>#REF!</v>
      </c>
      <c r="BC54" s="45">
        <v>13</v>
      </c>
      <c r="BD54" s="26">
        <v>40330</v>
      </c>
      <c r="BE54" s="8">
        <v>8.6299999962697868E-2</v>
      </c>
      <c r="BF54" s="56" t="e">
        <f>IF(BC54&lt;'DADOS DOS EMPREENDIMENTOS'!BE$11,0,IF(BC54='DADOS DOS EMPREENDIMENTOS'!BE$11,SUM(BE$41:BE54)*(1-'DADOS DOS EMPREENDIMENTOS'!#REF!-'DADOS DOS EMPREENDIMENTOS'!#REF!)+'DADOS DOS EMPREENDIMENTOS'!#REF!,IF(BC54='DADOS DOS EMPREENDIMENTOS'!#REF!,'DADOS DOS EMPREENDIMENTOS'!#REF!,BE54*(1-'DADOS DOS EMPREENDIMENTOS'!#REF!-'DADOS DOS EMPREENDIMENTOS'!#REF!))))</f>
        <v>#REF!</v>
      </c>
      <c r="BH54" s="45">
        <v>13</v>
      </c>
      <c r="BI54" s="26">
        <v>40330</v>
      </c>
      <c r="BJ54" s="8">
        <v>8.6299999962697868E-2</v>
      </c>
      <c r="BK54" s="56" t="e">
        <f>IF(BH54&lt;'DADOS DOS EMPREENDIMENTOS'!BJ$11,0,IF(BH54='DADOS DOS EMPREENDIMENTOS'!BJ$11,SUM(BJ$41:BJ54)*(1-'DADOS DOS EMPREENDIMENTOS'!#REF!-'DADOS DOS EMPREENDIMENTOS'!#REF!)+'DADOS DOS EMPREENDIMENTOS'!#REF!,IF(BH54='DADOS DOS EMPREENDIMENTOS'!#REF!,'DADOS DOS EMPREENDIMENTOS'!#REF!,BJ54*(1-'DADOS DOS EMPREENDIMENTOS'!#REF!-'DADOS DOS EMPREENDIMENTOS'!#REF!))))</f>
        <v>#REF!</v>
      </c>
      <c r="BM54" s="45">
        <v>13</v>
      </c>
      <c r="BN54" s="26">
        <v>40330</v>
      </c>
      <c r="BO54" s="8">
        <v>8.6299999962697868E-2</v>
      </c>
      <c r="BP54" s="56" t="e">
        <f>IF(BM54&lt;'DADOS DOS EMPREENDIMENTOS'!BO$11,0,IF(BM54='DADOS DOS EMPREENDIMENTOS'!BO$11,SUM(BO$41:BO54)*(1-'DADOS DOS EMPREENDIMENTOS'!#REF!-'DADOS DOS EMPREENDIMENTOS'!#REF!)+'DADOS DOS EMPREENDIMENTOS'!#REF!,IF(BM54='DADOS DOS EMPREENDIMENTOS'!BO$12,'DADOS DOS EMPREENDIMENTOS'!#REF!,BO54*(1-'DADOS DOS EMPREENDIMENTOS'!#REF!-'DADOS DOS EMPREENDIMENTOS'!#REF!))))</f>
        <v>#REF!</v>
      </c>
      <c r="BR54" s="45">
        <v>13</v>
      </c>
      <c r="BS54" s="26">
        <v>40330</v>
      </c>
      <c r="BT54" s="8">
        <v>8.6299999962697868E-2</v>
      </c>
      <c r="BU54" s="56" t="e">
        <f>IF(BR54&lt;'DADOS DOS EMPREENDIMENTOS'!BT$11,0,IF(BR54='DADOS DOS EMPREENDIMENTOS'!BT$11,SUM(BT$41:BT54)*(1-'DADOS DOS EMPREENDIMENTOS'!#REF!-'DADOS DOS EMPREENDIMENTOS'!#REF!)+'DADOS DOS EMPREENDIMENTOS'!#REF!,IF(BR54='DADOS DOS EMPREENDIMENTOS'!BT$12,'DADOS DOS EMPREENDIMENTOS'!#REF!,BT54*(1-'DADOS DOS EMPREENDIMENTOS'!#REF!-'DADOS DOS EMPREENDIMENTOS'!#REF!))))</f>
        <v>#REF!</v>
      </c>
      <c r="BW54" s="45">
        <v>13</v>
      </c>
      <c r="BX54" s="26">
        <v>40330</v>
      </c>
      <c r="BY54" s="8">
        <v>8.6299999962697868E-2</v>
      </c>
      <c r="BZ54" s="56" t="e">
        <f>IF(BW54&lt;'DADOS DOS EMPREENDIMENTOS'!BY$11,0,IF(BW54='DADOS DOS EMPREENDIMENTOS'!BY$11,SUM(BY$41:BY54)*(1-'DADOS DOS EMPREENDIMENTOS'!#REF!-'DADOS DOS EMPREENDIMENTOS'!#REF!)+'DADOS DOS EMPREENDIMENTOS'!#REF!,IF(BW54='DADOS DOS EMPREENDIMENTOS'!BY$12,'DADOS DOS EMPREENDIMENTOS'!#REF!,BY54*(1-'DADOS DOS EMPREENDIMENTOS'!#REF!-'DADOS DOS EMPREENDIMENTOS'!#REF!))))</f>
        <v>#REF!</v>
      </c>
      <c r="CB54" s="45">
        <v>13</v>
      </c>
      <c r="CC54" s="26">
        <v>40330</v>
      </c>
      <c r="CD54" s="8">
        <v>8.6299999962697868E-2</v>
      </c>
      <c r="CE54" s="56" t="e">
        <f>IF(CB54&lt;'DADOS DOS EMPREENDIMENTOS'!CD$11,0,IF(CB54='DADOS DOS EMPREENDIMENTOS'!CD$11,SUM(CD$41:CD54)*(1-'DADOS DOS EMPREENDIMENTOS'!#REF!-'DADOS DOS EMPREENDIMENTOS'!#REF!)+'DADOS DOS EMPREENDIMENTOS'!#REF!,IF(CB54='DADOS DOS EMPREENDIMENTOS'!CD$12,'DADOS DOS EMPREENDIMENTOS'!#REF!,CD54*(1-'DADOS DOS EMPREENDIMENTOS'!#REF!-'DADOS DOS EMPREENDIMENTOS'!#REF!))))</f>
        <v>#REF!</v>
      </c>
      <c r="CG54" s="45"/>
      <c r="CH54" s="26"/>
      <c r="CI54" s="8"/>
      <c r="CJ54" s="56"/>
    </row>
    <row r="55" spans="15:88" ht="12.75" customHeight="1" thickBot="1" x14ac:dyDescent="0.25">
      <c r="O55" s="38">
        <v>40</v>
      </c>
      <c r="P55" s="341" t="s">
        <v>261</v>
      </c>
      <c r="Q55" s="344">
        <f>VLOOKUP(P55,Apoio!C:E,2,0)</f>
        <v>241644.5</v>
      </c>
      <c r="R55" s="343">
        <v>220000</v>
      </c>
      <c r="S55" s="206">
        <v>5</v>
      </c>
      <c r="T55" s="45">
        <v>14</v>
      </c>
      <c r="U55" s="26"/>
      <c r="V55" s="8"/>
      <c r="W55" s="56"/>
      <c r="Y55" s="45">
        <v>14</v>
      </c>
      <c r="Z55" s="26"/>
      <c r="AA55" s="8"/>
      <c r="AB55" s="56"/>
      <c r="AD55" s="45">
        <v>14</v>
      </c>
      <c r="AE55" s="26">
        <v>40360</v>
      </c>
      <c r="AF55" s="8">
        <v>9.7599999710741514E-2</v>
      </c>
      <c r="AG55" s="56" t="e">
        <f>IF(AD55&lt;'DADOS DOS EMPREENDIMENTOS'!AF$11,0,IF(AD55='DADOS DOS EMPREENDIMENTOS'!AF$11,SUM(AF$41:AF55)*(1-'DADOS DOS EMPREENDIMENTOS'!#REF!-'DADOS DOS EMPREENDIMENTOS'!#REF!)+'DADOS DOS EMPREENDIMENTOS'!#REF!,IF(AD55='DADOS DOS EMPREENDIMENTOS'!#REF!,'DADOS DOS EMPREENDIMENTOS'!#REF!,AF55*(1-'DADOS DOS EMPREENDIMENTOS'!#REF!-'DADOS DOS EMPREENDIMENTOS'!#REF!))))</f>
        <v>#REF!</v>
      </c>
      <c r="AI55" s="45">
        <v>14</v>
      </c>
      <c r="AJ55" s="26">
        <v>40360</v>
      </c>
      <c r="AK55" s="8">
        <v>9.7599999710741514E-2</v>
      </c>
      <c r="AL55" s="56" t="e">
        <f>IF(AI55&lt;'DADOS DOS EMPREENDIMENTOS'!AK$11,0,IF(AI55='DADOS DOS EMPREENDIMENTOS'!AK$11,SUM(AK$41:AK55)*(1-'DADOS DOS EMPREENDIMENTOS'!#REF!-'DADOS DOS EMPREENDIMENTOS'!#REF!)+'DADOS DOS EMPREENDIMENTOS'!#REF!,IF(AI55='DADOS DOS EMPREENDIMENTOS'!#REF!,'DADOS DOS EMPREENDIMENTOS'!#REF!,AK55*(1-'DADOS DOS EMPREENDIMENTOS'!#REF!-'DADOS DOS EMPREENDIMENTOS'!#REF!))))</f>
        <v>#REF!</v>
      </c>
      <c r="AN55" s="45">
        <v>14</v>
      </c>
      <c r="AO55" s="26">
        <v>40360</v>
      </c>
      <c r="AP55" s="8">
        <v>9.7599999710741514E-2</v>
      </c>
      <c r="AQ55" s="56" t="e">
        <f>IF(AN55&lt;'DADOS DOS EMPREENDIMENTOS'!AP$11,0,IF(AN55='DADOS DOS EMPREENDIMENTOS'!AP$11,SUM(AP$41:AP55)*(1-'DADOS DOS EMPREENDIMENTOS'!#REF!-'DADOS DOS EMPREENDIMENTOS'!#REF!)+'DADOS DOS EMPREENDIMENTOS'!#REF!,IF(AN55='DADOS DOS EMPREENDIMENTOS'!#REF!,'DADOS DOS EMPREENDIMENTOS'!#REF!,AP55*(1-'DADOS DOS EMPREENDIMENTOS'!#REF!-'DADOS DOS EMPREENDIMENTOS'!#REF!))))</f>
        <v>#REF!</v>
      </c>
      <c r="AS55" s="45">
        <v>14</v>
      </c>
      <c r="AT55" s="26">
        <v>40360</v>
      </c>
      <c r="AU55" s="8">
        <v>9.7599999710741514E-2</v>
      </c>
      <c r="AV55" s="56" t="e">
        <f>IF(AS55&lt;'DADOS DOS EMPREENDIMENTOS'!AU$11,0,IF(AS55='DADOS DOS EMPREENDIMENTOS'!AU$11,SUM(AU$41:AU55)*(1-'DADOS DOS EMPREENDIMENTOS'!#REF!-'DADOS DOS EMPREENDIMENTOS'!#REF!)+'DADOS DOS EMPREENDIMENTOS'!#REF!,IF(AS55='DADOS DOS EMPREENDIMENTOS'!#REF!,'DADOS DOS EMPREENDIMENTOS'!#REF!,AU55*(1-'DADOS DOS EMPREENDIMENTOS'!#REF!-'DADOS DOS EMPREENDIMENTOS'!#REF!))))</f>
        <v>#REF!</v>
      </c>
      <c r="AX55" s="45">
        <v>14</v>
      </c>
      <c r="AY55" s="26">
        <v>40360</v>
      </c>
      <c r="AZ55" s="8">
        <v>9.7599999710741514E-2</v>
      </c>
      <c r="BA55" s="56" t="e">
        <f>IF(AX55&lt;'DADOS DOS EMPREENDIMENTOS'!AZ$11,0,IF(AX55='DADOS DOS EMPREENDIMENTOS'!AZ$11,SUM(AZ$41:AZ55)*(1-'DADOS DOS EMPREENDIMENTOS'!#REF!-'DADOS DOS EMPREENDIMENTOS'!#REF!)+'DADOS DOS EMPREENDIMENTOS'!#REF!,IF(AX55='DADOS DOS EMPREENDIMENTOS'!#REF!,'DADOS DOS EMPREENDIMENTOS'!#REF!,AZ55*(1-'DADOS DOS EMPREENDIMENTOS'!#REF!-'DADOS DOS EMPREENDIMENTOS'!#REF!))))</f>
        <v>#REF!</v>
      </c>
      <c r="BC55" s="45">
        <v>14</v>
      </c>
      <c r="BD55" s="26">
        <v>40360</v>
      </c>
      <c r="BE55" s="8">
        <v>9.7599999710741514E-2</v>
      </c>
      <c r="BF55" s="56" t="e">
        <f>IF(BC55&lt;'DADOS DOS EMPREENDIMENTOS'!BE$11,0,IF(BC55='DADOS DOS EMPREENDIMENTOS'!BE$11,SUM(BE$41:BE55)*(1-'DADOS DOS EMPREENDIMENTOS'!#REF!-'DADOS DOS EMPREENDIMENTOS'!#REF!)+'DADOS DOS EMPREENDIMENTOS'!#REF!,IF(BC55='DADOS DOS EMPREENDIMENTOS'!#REF!,'DADOS DOS EMPREENDIMENTOS'!#REF!,BE55*(1-'DADOS DOS EMPREENDIMENTOS'!#REF!-'DADOS DOS EMPREENDIMENTOS'!#REF!))))</f>
        <v>#REF!</v>
      </c>
      <c r="BH55" s="45">
        <v>14</v>
      </c>
      <c r="BI55" s="26">
        <v>40360</v>
      </c>
      <c r="BJ55" s="8">
        <v>9.7599999710741514E-2</v>
      </c>
      <c r="BK55" s="56" t="e">
        <f>IF(BH55&lt;'DADOS DOS EMPREENDIMENTOS'!BJ$11,0,IF(BH55='DADOS DOS EMPREENDIMENTOS'!BJ$11,SUM(BJ$41:BJ55)*(1-'DADOS DOS EMPREENDIMENTOS'!#REF!-'DADOS DOS EMPREENDIMENTOS'!#REF!)+'DADOS DOS EMPREENDIMENTOS'!#REF!,IF(BH55='DADOS DOS EMPREENDIMENTOS'!#REF!,'DADOS DOS EMPREENDIMENTOS'!#REF!,BJ55*(1-'DADOS DOS EMPREENDIMENTOS'!#REF!-'DADOS DOS EMPREENDIMENTOS'!#REF!))))</f>
        <v>#REF!</v>
      </c>
      <c r="BM55" s="45">
        <v>14</v>
      </c>
      <c r="BN55" s="26">
        <v>40360</v>
      </c>
      <c r="BO55" s="8">
        <v>9.7599999710741514E-2</v>
      </c>
      <c r="BP55" s="56" t="e">
        <f>IF(BM55&lt;'DADOS DOS EMPREENDIMENTOS'!BO$11,0,IF(BM55='DADOS DOS EMPREENDIMENTOS'!BO$11,SUM(BO$41:BO55)*(1-'DADOS DOS EMPREENDIMENTOS'!#REF!-'DADOS DOS EMPREENDIMENTOS'!#REF!)+'DADOS DOS EMPREENDIMENTOS'!#REF!,IF(BM55='DADOS DOS EMPREENDIMENTOS'!BO$12,'DADOS DOS EMPREENDIMENTOS'!#REF!,BO55*(1-'DADOS DOS EMPREENDIMENTOS'!#REF!-'DADOS DOS EMPREENDIMENTOS'!#REF!))))</f>
        <v>#REF!</v>
      </c>
      <c r="BR55" s="45">
        <v>14</v>
      </c>
      <c r="BS55" s="26">
        <v>40360</v>
      </c>
      <c r="BT55" s="8">
        <v>9.7599999710741514E-2</v>
      </c>
      <c r="BU55" s="56" t="e">
        <f>IF(BR55&lt;'DADOS DOS EMPREENDIMENTOS'!BT$11,0,IF(BR55='DADOS DOS EMPREENDIMENTOS'!BT$11,SUM(BT$41:BT55)*(1-'DADOS DOS EMPREENDIMENTOS'!#REF!-'DADOS DOS EMPREENDIMENTOS'!#REF!)+'DADOS DOS EMPREENDIMENTOS'!#REF!,IF(BR55='DADOS DOS EMPREENDIMENTOS'!BT$12,'DADOS DOS EMPREENDIMENTOS'!#REF!,BT55*(1-'DADOS DOS EMPREENDIMENTOS'!#REF!-'DADOS DOS EMPREENDIMENTOS'!#REF!))))</f>
        <v>#REF!</v>
      </c>
      <c r="BW55" s="45">
        <v>14</v>
      </c>
      <c r="BX55" s="26">
        <v>40360</v>
      </c>
      <c r="BY55" s="8">
        <v>9.7599999710741514E-2</v>
      </c>
      <c r="BZ55" s="56" t="e">
        <f>IF(BW55&lt;'DADOS DOS EMPREENDIMENTOS'!BY$11,0,IF(BW55='DADOS DOS EMPREENDIMENTOS'!BY$11,SUM(BY$41:BY55)*(1-'DADOS DOS EMPREENDIMENTOS'!#REF!-'DADOS DOS EMPREENDIMENTOS'!#REF!)+'DADOS DOS EMPREENDIMENTOS'!#REF!,IF(BW55='DADOS DOS EMPREENDIMENTOS'!BY$12,'DADOS DOS EMPREENDIMENTOS'!#REF!,BY55*(1-'DADOS DOS EMPREENDIMENTOS'!#REF!-'DADOS DOS EMPREENDIMENTOS'!#REF!))))</f>
        <v>#REF!</v>
      </c>
      <c r="CB55" s="45">
        <v>14</v>
      </c>
      <c r="CC55" s="26">
        <v>40360</v>
      </c>
      <c r="CD55" s="8">
        <v>9.7599999710741514E-2</v>
      </c>
      <c r="CE55" s="56" t="e">
        <f>IF(CB55&lt;'DADOS DOS EMPREENDIMENTOS'!CD$11,0,IF(CB55='DADOS DOS EMPREENDIMENTOS'!CD$11,SUM(CD$41:CD55)*(1-'DADOS DOS EMPREENDIMENTOS'!#REF!-'DADOS DOS EMPREENDIMENTOS'!#REF!)+'DADOS DOS EMPREENDIMENTOS'!#REF!,IF(CB55='DADOS DOS EMPREENDIMENTOS'!CD$12,'DADOS DOS EMPREENDIMENTOS'!#REF!,CD55*(1-'DADOS DOS EMPREENDIMENTOS'!#REF!-'DADOS DOS EMPREENDIMENTOS'!#REF!))))</f>
        <v>#REF!</v>
      </c>
      <c r="CG55" s="45"/>
      <c r="CH55" s="26"/>
      <c r="CI55" s="8"/>
      <c r="CJ55" s="56"/>
    </row>
    <row r="56" spans="15:88" ht="12.75" customHeight="1" thickBot="1" x14ac:dyDescent="0.25">
      <c r="O56" s="36">
        <v>41</v>
      </c>
      <c r="P56" s="341" t="s">
        <v>262</v>
      </c>
      <c r="Q56" s="344">
        <f>VLOOKUP(P56,Apoio!C:E,2,0)</f>
        <v>241657.1</v>
      </c>
      <c r="R56" s="343">
        <v>220000</v>
      </c>
      <c r="S56" s="206">
        <v>5</v>
      </c>
      <c r="T56" s="45">
        <v>15</v>
      </c>
      <c r="U56" s="26"/>
      <c r="V56" s="8"/>
      <c r="W56" s="56"/>
      <c r="Y56" s="45">
        <v>15</v>
      </c>
      <c r="Z56" s="26"/>
      <c r="AA56" s="8"/>
      <c r="AB56" s="56"/>
      <c r="AD56" s="45">
        <v>15</v>
      </c>
      <c r="AE56" s="26">
        <v>40391</v>
      </c>
      <c r="AF56" s="8">
        <v>0.11039999975882406</v>
      </c>
      <c r="AG56" s="56" t="e">
        <f>IF(AD56&lt;'DADOS DOS EMPREENDIMENTOS'!AF$11,0,IF(AD56='DADOS DOS EMPREENDIMENTOS'!AF$11,SUM(AF$41:AF56)*(1-'DADOS DOS EMPREENDIMENTOS'!#REF!-'DADOS DOS EMPREENDIMENTOS'!#REF!)+'DADOS DOS EMPREENDIMENTOS'!#REF!,IF(AD56='DADOS DOS EMPREENDIMENTOS'!#REF!,'DADOS DOS EMPREENDIMENTOS'!#REF!,AF56*(1-'DADOS DOS EMPREENDIMENTOS'!#REF!-'DADOS DOS EMPREENDIMENTOS'!#REF!))))</f>
        <v>#REF!</v>
      </c>
      <c r="AI56" s="45">
        <v>15</v>
      </c>
      <c r="AJ56" s="26">
        <v>40391</v>
      </c>
      <c r="AK56" s="8">
        <v>0.11039999975882406</v>
      </c>
      <c r="AL56" s="56" t="e">
        <f>IF(AI56&lt;'DADOS DOS EMPREENDIMENTOS'!AK$11,0,IF(AI56='DADOS DOS EMPREENDIMENTOS'!AK$11,SUM(AK$41:AK56)*(1-'DADOS DOS EMPREENDIMENTOS'!#REF!-'DADOS DOS EMPREENDIMENTOS'!#REF!)+'DADOS DOS EMPREENDIMENTOS'!#REF!,IF(AI56='DADOS DOS EMPREENDIMENTOS'!#REF!,'DADOS DOS EMPREENDIMENTOS'!#REF!,AK56*(1-'DADOS DOS EMPREENDIMENTOS'!#REF!-'DADOS DOS EMPREENDIMENTOS'!#REF!))))</f>
        <v>#REF!</v>
      </c>
      <c r="AN56" s="45">
        <v>15</v>
      </c>
      <c r="AO56" s="26">
        <v>40391</v>
      </c>
      <c r="AP56" s="8">
        <v>0.11039999975882406</v>
      </c>
      <c r="AQ56" s="56" t="e">
        <f>IF(AN56&lt;'DADOS DOS EMPREENDIMENTOS'!AP$11,0,IF(AN56='DADOS DOS EMPREENDIMENTOS'!AP$11,SUM(AP$41:AP56)*(1-'DADOS DOS EMPREENDIMENTOS'!#REF!-'DADOS DOS EMPREENDIMENTOS'!#REF!)+'DADOS DOS EMPREENDIMENTOS'!#REF!,IF(AN56='DADOS DOS EMPREENDIMENTOS'!#REF!,'DADOS DOS EMPREENDIMENTOS'!#REF!,AP56*(1-'DADOS DOS EMPREENDIMENTOS'!#REF!-'DADOS DOS EMPREENDIMENTOS'!#REF!))))</f>
        <v>#REF!</v>
      </c>
      <c r="AS56" s="45">
        <v>15</v>
      </c>
      <c r="AT56" s="26">
        <v>40391</v>
      </c>
      <c r="AU56" s="8">
        <v>0.11039999975882406</v>
      </c>
      <c r="AV56" s="56" t="e">
        <f>IF(AS56&lt;'DADOS DOS EMPREENDIMENTOS'!AU$11,0,IF(AS56='DADOS DOS EMPREENDIMENTOS'!AU$11,SUM(AU$41:AU56)*(1-'DADOS DOS EMPREENDIMENTOS'!#REF!-'DADOS DOS EMPREENDIMENTOS'!#REF!)+'DADOS DOS EMPREENDIMENTOS'!#REF!,IF(AS56='DADOS DOS EMPREENDIMENTOS'!#REF!,'DADOS DOS EMPREENDIMENTOS'!#REF!,AU56*(1-'DADOS DOS EMPREENDIMENTOS'!#REF!-'DADOS DOS EMPREENDIMENTOS'!#REF!))))</f>
        <v>#REF!</v>
      </c>
      <c r="AX56" s="45">
        <v>15</v>
      </c>
      <c r="AY56" s="26">
        <v>40391</v>
      </c>
      <c r="AZ56" s="8">
        <v>0.11039999975882406</v>
      </c>
      <c r="BA56" s="56" t="e">
        <f>IF(AX56&lt;'DADOS DOS EMPREENDIMENTOS'!AZ$11,0,IF(AX56='DADOS DOS EMPREENDIMENTOS'!AZ$11,SUM(AZ$41:AZ56)*(1-'DADOS DOS EMPREENDIMENTOS'!#REF!-'DADOS DOS EMPREENDIMENTOS'!#REF!)+'DADOS DOS EMPREENDIMENTOS'!#REF!,IF(AX56='DADOS DOS EMPREENDIMENTOS'!#REF!,'DADOS DOS EMPREENDIMENTOS'!#REF!,AZ56*(1-'DADOS DOS EMPREENDIMENTOS'!#REF!-'DADOS DOS EMPREENDIMENTOS'!#REF!))))</f>
        <v>#REF!</v>
      </c>
      <c r="BC56" s="45">
        <v>15</v>
      </c>
      <c r="BD56" s="26">
        <v>40391</v>
      </c>
      <c r="BE56" s="8">
        <v>0.11039999975882406</v>
      </c>
      <c r="BF56" s="56" t="e">
        <f>IF(BC56&lt;'DADOS DOS EMPREENDIMENTOS'!BE$11,0,IF(BC56='DADOS DOS EMPREENDIMENTOS'!BE$11,SUM(BE$41:BE56)*(1-'DADOS DOS EMPREENDIMENTOS'!#REF!-'DADOS DOS EMPREENDIMENTOS'!#REF!)+'DADOS DOS EMPREENDIMENTOS'!#REF!,IF(BC56='DADOS DOS EMPREENDIMENTOS'!#REF!,'DADOS DOS EMPREENDIMENTOS'!#REF!,BE56*(1-'DADOS DOS EMPREENDIMENTOS'!#REF!-'DADOS DOS EMPREENDIMENTOS'!#REF!))))</f>
        <v>#REF!</v>
      </c>
      <c r="BH56" s="45">
        <v>15</v>
      </c>
      <c r="BI56" s="26">
        <v>40391</v>
      </c>
      <c r="BJ56" s="8">
        <v>0.11039999975882406</v>
      </c>
      <c r="BK56" s="56" t="e">
        <f>IF(BH56&lt;'DADOS DOS EMPREENDIMENTOS'!BJ$11,0,IF(BH56='DADOS DOS EMPREENDIMENTOS'!BJ$11,SUM(BJ$41:BJ56)*(1-'DADOS DOS EMPREENDIMENTOS'!#REF!-'DADOS DOS EMPREENDIMENTOS'!#REF!)+'DADOS DOS EMPREENDIMENTOS'!#REF!,IF(BH56='DADOS DOS EMPREENDIMENTOS'!#REF!,'DADOS DOS EMPREENDIMENTOS'!#REF!,BJ56*(1-'DADOS DOS EMPREENDIMENTOS'!#REF!-'DADOS DOS EMPREENDIMENTOS'!#REF!))))</f>
        <v>#REF!</v>
      </c>
      <c r="BM56" s="45">
        <v>15</v>
      </c>
      <c r="BN56" s="26">
        <v>40391</v>
      </c>
      <c r="BO56" s="8">
        <v>0.11039999975882406</v>
      </c>
      <c r="BP56" s="56" t="e">
        <f>IF(BM56&lt;'DADOS DOS EMPREENDIMENTOS'!BO$11,0,IF(BM56='DADOS DOS EMPREENDIMENTOS'!BO$11,SUM(BO$41:BO56)*(1-'DADOS DOS EMPREENDIMENTOS'!#REF!-'DADOS DOS EMPREENDIMENTOS'!#REF!)+'DADOS DOS EMPREENDIMENTOS'!#REF!,IF(BM56='DADOS DOS EMPREENDIMENTOS'!BO$12,'DADOS DOS EMPREENDIMENTOS'!#REF!,BO56*(1-'DADOS DOS EMPREENDIMENTOS'!#REF!-'DADOS DOS EMPREENDIMENTOS'!#REF!))))</f>
        <v>#REF!</v>
      </c>
      <c r="BR56" s="45">
        <v>15</v>
      </c>
      <c r="BS56" s="26">
        <v>40391</v>
      </c>
      <c r="BT56" s="8">
        <v>0.11039999975882406</v>
      </c>
      <c r="BU56" s="56" t="e">
        <f>IF(BR56&lt;'DADOS DOS EMPREENDIMENTOS'!BT$11,0,IF(BR56='DADOS DOS EMPREENDIMENTOS'!BT$11,SUM(BT$41:BT56)*(1-'DADOS DOS EMPREENDIMENTOS'!#REF!-'DADOS DOS EMPREENDIMENTOS'!#REF!)+'DADOS DOS EMPREENDIMENTOS'!#REF!,IF(BR56='DADOS DOS EMPREENDIMENTOS'!BT$12,'DADOS DOS EMPREENDIMENTOS'!#REF!,BT56*(1-'DADOS DOS EMPREENDIMENTOS'!#REF!-'DADOS DOS EMPREENDIMENTOS'!#REF!))))</f>
        <v>#REF!</v>
      </c>
      <c r="BW56" s="45">
        <v>15</v>
      </c>
      <c r="BX56" s="26">
        <v>40391</v>
      </c>
      <c r="BY56" s="8">
        <v>0.11039999975882406</v>
      </c>
      <c r="BZ56" s="56" t="e">
        <f>IF(BW56&lt;'DADOS DOS EMPREENDIMENTOS'!BY$11,0,IF(BW56='DADOS DOS EMPREENDIMENTOS'!BY$11,SUM(BY$41:BY56)*(1-'DADOS DOS EMPREENDIMENTOS'!#REF!-'DADOS DOS EMPREENDIMENTOS'!#REF!)+'DADOS DOS EMPREENDIMENTOS'!#REF!,IF(BW56='DADOS DOS EMPREENDIMENTOS'!BY$12,'DADOS DOS EMPREENDIMENTOS'!#REF!,BY56*(1-'DADOS DOS EMPREENDIMENTOS'!#REF!-'DADOS DOS EMPREENDIMENTOS'!#REF!))))</f>
        <v>#REF!</v>
      </c>
      <c r="CB56" s="45">
        <v>15</v>
      </c>
      <c r="CC56" s="26">
        <v>40391</v>
      </c>
      <c r="CD56" s="8">
        <v>0.11039999975882406</v>
      </c>
      <c r="CE56" s="56" t="e">
        <f>IF(CB56&lt;'DADOS DOS EMPREENDIMENTOS'!CD$11,0,IF(CB56='DADOS DOS EMPREENDIMENTOS'!CD$11,SUM(CD$41:CD56)*(1-'DADOS DOS EMPREENDIMENTOS'!#REF!-'DADOS DOS EMPREENDIMENTOS'!#REF!)+'DADOS DOS EMPREENDIMENTOS'!#REF!,IF(CB56='DADOS DOS EMPREENDIMENTOS'!CD$12,'DADOS DOS EMPREENDIMENTOS'!#REF!,CD56*(1-'DADOS DOS EMPREENDIMENTOS'!#REF!-'DADOS DOS EMPREENDIMENTOS'!#REF!))))</f>
        <v>#REF!</v>
      </c>
      <c r="CG56" s="45"/>
      <c r="CH56" s="26"/>
      <c r="CI56" s="8"/>
      <c r="CJ56" s="56"/>
    </row>
    <row r="57" spans="15:88" ht="12.75" customHeight="1" thickBot="1" x14ac:dyDescent="0.25">
      <c r="O57" s="38">
        <v>42</v>
      </c>
      <c r="P57" s="341" t="s">
        <v>263</v>
      </c>
      <c r="Q57" s="344">
        <f>VLOOKUP(P57,Apoio!C:E,2,0)</f>
        <v>241657.1</v>
      </c>
      <c r="R57" s="343">
        <v>220000</v>
      </c>
      <c r="S57" s="206">
        <v>5</v>
      </c>
      <c r="T57" s="45">
        <v>16</v>
      </c>
      <c r="U57" s="26"/>
      <c r="V57" s="8"/>
      <c r="W57" s="56"/>
      <c r="Y57" s="45">
        <v>16</v>
      </c>
      <c r="Z57" s="26"/>
      <c r="AA57" s="8"/>
      <c r="AB57" s="56"/>
      <c r="AD57" s="45">
        <v>16</v>
      </c>
      <c r="AE57" s="26">
        <v>40422</v>
      </c>
      <c r="AF57" s="8">
        <v>0.12510000012335462</v>
      </c>
      <c r="AG57" s="56" t="e">
        <f>IF(AD57&lt;'DADOS DOS EMPREENDIMENTOS'!AF$11,0,IF(AD57='DADOS DOS EMPREENDIMENTOS'!AF$11,SUM(AF$41:AF57)*(1-'DADOS DOS EMPREENDIMENTOS'!#REF!-'DADOS DOS EMPREENDIMENTOS'!#REF!)+'DADOS DOS EMPREENDIMENTOS'!#REF!,IF(AD57='DADOS DOS EMPREENDIMENTOS'!#REF!,'DADOS DOS EMPREENDIMENTOS'!#REF!,AF57*(1-'DADOS DOS EMPREENDIMENTOS'!#REF!-'DADOS DOS EMPREENDIMENTOS'!#REF!))))</f>
        <v>#REF!</v>
      </c>
      <c r="AI57" s="45">
        <v>16</v>
      </c>
      <c r="AJ57" s="26">
        <v>40422</v>
      </c>
      <c r="AK57" s="8">
        <v>0.12510000012335462</v>
      </c>
      <c r="AL57" s="56" t="e">
        <f>IF(AI57&lt;'DADOS DOS EMPREENDIMENTOS'!AK$11,0,IF(AI57='DADOS DOS EMPREENDIMENTOS'!AK$11,SUM(AK$41:AK57)*(1-'DADOS DOS EMPREENDIMENTOS'!#REF!-'DADOS DOS EMPREENDIMENTOS'!#REF!)+'DADOS DOS EMPREENDIMENTOS'!#REF!,IF(AI57='DADOS DOS EMPREENDIMENTOS'!#REF!,'DADOS DOS EMPREENDIMENTOS'!#REF!,AK57*(1-'DADOS DOS EMPREENDIMENTOS'!#REF!-'DADOS DOS EMPREENDIMENTOS'!#REF!))))</f>
        <v>#REF!</v>
      </c>
      <c r="AN57" s="45">
        <v>16</v>
      </c>
      <c r="AO57" s="26">
        <v>40422</v>
      </c>
      <c r="AP57" s="8">
        <v>0.12510000012335462</v>
      </c>
      <c r="AQ57" s="56" t="e">
        <f>IF(AN57&lt;'DADOS DOS EMPREENDIMENTOS'!AP$11,0,IF(AN57='DADOS DOS EMPREENDIMENTOS'!AP$11,SUM(AP$41:AP57)*(1-'DADOS DOS EMPREENDIMENTOS'!#REF!-'DADOS DOS EMPREENDIMENTOS'!#REF!)+'DADOS DOS EMPREENDIMENTOS'!#REF!,IF(AN57='DADOS DOS EMPREENDIMENTOS'!#REF!,'DADOS DOS EMPREENDIMENTOS'!#REF!,AP57*(1-'DADOS DOS EMPREENDIMENTOS'!#REF!-'DADOS DOS EMPREENDIMENTOS'!#REF!))))</f>
        <v>#REF!</v>
      </c>
      <c r="AS57" s="45">
        <v>16</v>
      </c>
      <c r="AT57" s="26">
        <v>40422</v>
      </c>
      <c r="AU57" s="8">
        <v>0.12510000012335462</v>
      </c>
      <c r="AV57" s="56" t="e">
        <f>IF(AS57&lt;'DADOS DOS EMPREENDIMENTOS'!AU$11,0,IF(AS57='DADOS DOS EMPREENDIMENTOS'!AU$11,SUM(AU$41:AU57)*(1-'DADOS DOS EMPREENDIMENTOS'!#REF!-'DADOS DOS EMPREENDIMENTOS'!#REF!)+'DADOS DOS EMPREENDIMENTOS'!#REF!,IF(AS57='DADOS DOS EMPREENDIMENTOS'!#REF!,'DADOS DOS EMPREENDIMENTOS'!#REF!,AU57*(1-'DADOS DOS EMPREENDIMENTOS'!#REF!-'DADOS DOS EMPREENDIMENTOS'!#REF!))))</f>
        <v>#REF!</v>
      </c>
      <c r="AX57" s="45">
        <v>16</v>
      </c>
      <c r="AY57" s="26">
        <v>40422</v>
      </c>
      <c r="AZ57" s="8">
        <v>0.12510000012335462</v>
      </c>
      <c r="BA57" s="56" t="e">
        <f>IF(AX57&lt;'DADOS DOS EMPREENDIMENTOS'!AZ$11,0,IF(AX57='DADOS DOS EMPREENDIMENTOS'!AZ$11,SUM(AZ$41:AZ57)*(1-'DADOS DOS EMPREENDIMENTOS'!#REF!-'DADOS DOS EMPREENDIMENTOS'!#REF!)+'DADOS DOS EMPREENDIMENTOS'!#REF!,IF(AX57='DADOS DOS EMPREENDIMENTOS'!#REF!,'DADOS DOS EMPREENDIMENTOS'!#REF!,AZ57*(1-'DADOS DOS EMPREENDIMENTOS'!#REF!-'DADOS DOS EMPREENDIMENTOS'!#REF!))))</f>
        <v>#REF!</v>
      </c>
      <c r="BC57" s="45">
        <v>16</v>
      </c>
      <c r="BD57" s="26">
        <v>40422</v>
      </c>
      <c r="BE57" s="8">
        <v>0.12510000012335462</v>
      </c>
      <c r="BF57" s="56" t="e">
        <f>IF(BC57&lt;'DADOS DOS EMPREENDIMENTOS'!BE$11,0,IF(BC57='DADOS DOS EMPREENDIMENTOS'!BE$11,SUM(BE$41:BE57)*(1-'DADOS DOS EMPREENDIMENTOS'!#REF!-'DADOS DOS EMPREENDIMENTOS'!#REF!)+'DADOS DOS EMPREENDIMENTOS'!#REF!,IF(BC57='DADOS DOS EMPREENDIMENTOS'!#REF!,'DADOS DOS EMPREENDIMENTOS'!#REF!,BE57*(1-'DADOS DOS EMPREENDIMENTOS'!#REF!-'DADOS DOS EMPREENDIMENTOS'!#REF!))))</f>
        <v>#REF!</v>
      </c>
      <c r="BH57" s="45">
        <v>16</v>
      </c>
      <c r="BI57" s="26">
        <v>40422</v>
      </c>
      <c r="BJ57" s="8">
        <v>0.12510000012335462</v>
      </c>
      <c r="BK57" s="56" t="e">
        <f>IF(BH57&lt;'DADOS DOS EMPREENDIMENTOS'!BJ$11,0,IF(BH57='DADOS DOS EMPREENDIMENTOS'!BJ$11,SUM(BJ$41:BJ57)*(1-'DADOS DOS EMPREENDIMENTOS'!#REF!-'DADOS DOS EMPREENDIMENTOS'!#REF!)+'DADOS DOS EMPREENDIMENTOS'!#REF!,IF(BH57='DADOS DOS EMPREENDIMENTOS'!#REF!,'DADOS DOS EMPREENDIMENTOS'!#REF!,BJ57*(1-'DADOS DOS EMPREENDIMENTOS'!#REF!-'DADOS DOS EMPREENDIMENTOS'!#REF!))))</f>
        <v>#REF!</v>
      </c>
      <c r="BM57" s="45">
        <v>16</v>
      </c>
      <c r="BN57" s="26">
        <v>40422</v>
      </c>
      <c r="BO57" s="8">
        <v>0.12510000012335462</v>
      </c>
      <c r="BP57" s="56" t="e">
        <f>IF(BM57&lt;'DADOS DOS EMPREENDIMENTOS'!BO$11,0,IF(BM57='DADOS DOS EMPREENDIMENTOS'!BO$11,SUM(BO$41:BO57)*(1-'DADOS DOS EMPREENDIMENTOS'!#REF!-'DADOS DOS EMPREENDIMENTOS'!#REF!)+'DADOS DOS EMPREENDIMENTOS'!#REF!,IF(BM57='DADOS DOS EMPREENDIMENTOS'!BO$12,'DADOS DOS EMPREENDIMENTOS'!#REF!,BO57*(1-'DADOS DOS EMPREENDIMENTOS'!#REF!-'DADOS DOS EMPREENDIMENTOS'!#REF!))))</f>
        <v>#REF!</v>
      </c>
      <c r="BR57" s="45">
        <v>16</v>
      </c>
      <c r="BS57" s="26">
        <v>40422</v>
      </c>
      <c r="BT57" s="8">
        <v>0.12510000012335462</v>
      </c>
      <c r="BU57" s="56" t="e">
        <f>IF(BR57&lt;'DADOS DOS EMPREENDIMENTOS'!BT$11,0,IF(BR57='DADOS DOS EMPREENDIMENTOS'!BT$11,SUM(BT$41:BT57)*(1-'DADOS DOS EMPREENDIMENTOS'!#REF!-'DADOS DOS EMPREENDIMENTOS'!#REF!)+'DADOS DOS EMPREENDIMENTOS'!#REF!,IF(BR57='DADOS DOS EMPREENDIMENTOS'!BT$12,'DADOS DOS EMPREENDIMENTOS'!#REF!,BT57*(1-'DADOS DOS EMPREENDIMENTOS'!#REF!-'DADOS DOS EMPREENDIMENTOS'!#REF!))))</f>
        <v>#REF!</v>
      </c>
      <c r="BW57" s="45">
        <v>16</v>
      </c>
      <c r="BX57" s="26">
        <v>40422</v>
      </c>
      <c r="BY57" s="8">
        <v>0.12510000012335462</v>
      </c>
      <c r="BZ57" s="56" t="e">
        <f>IF(BW57&lt;'DADOS DOS EMPREENDIMENTOS'!BY$11,0,IF(BW57='DADOS DOS EMPREENDIMENTOS'!BY$11,SUM(BY$41:BY57)*(1-'DADOS DOS EMPREENDIMENTOS'!#REF!-'DADOS DOS EMPREENDIMENTOS'!#REF!)+'DADOS DOS EMPREENDIMENTOS'!#REF!,IF(BW57='DADOS DOS EMPREENDIMENTOS'!BY$12,'DADOS DOS EMPREENDIMENTOS'!#REF!,BY57*(1-'DADOS DOS EMPREENDIMENTOS'!#REF!-'DADOS DOS EMPREENDIMENTOS'!#REF!))))</f>
        <v>#REF!</v>
      </c>
      <c r="CB57" s="45">
        <v>16</v>
      </c>
      <c r="CC57" s="26">
        <v>40422</v>
      </c>
      <c r="CD57" s="8">
        <v>0.12510000012335462</v>
      </c>
      <c r="CE57" s="56" t="e">
        <f>IF(CB57&lt;'DADOS DOS EMPREENDIMENTOS'!CD$11,0,IF(CB57='DADOS DOS EMPREENDIMENTOS'!CD$11,SUM(CD$41:CD57)*(1-'DADOS DOS EMPREENDIMENTOS'!#REF!-'DADOS DOS EMPREENDIMENTOS'!#REF!)+'DADOS DOS EMPREENDIMENTOS'!#REF!,IF(CB57='DADOS DOS EMPREENDIMENTOS'!CD$12,'DADOS DOS EMPREENDIMENTOS'!#REF!,CD57*(1-'DADOS DOS EMPREENDIMENTOS'!#REF!-'DADOS DOS EMPREENDIMENTOS'!#REF!))))</f>
        <v>#REF!</v>
      </c>
      <c r="CG57" s="45"/>
      <c r="CH57" s="26"/>
      <c r="CI57" s="8"/>
      <c r="CJ57" s="56"/>
    </row>
    <row r="58" spans="15:88" ht="12.75" customHeight="1" thickBot="1" x14ac:dyDescent="0.25">
      <c r="O58" s="36">
        <v>43</v>
      </c>
      <c r="P58" s="341" t="s">
        <v>264</v>
      </c>
      <c r="Q58" s="344">
        <f>VLOOKUP(P58,Apoio!C:E,2,0)</f>
        <v>239240.1</v>
      </c>
      <c r="R58" s="343">
        <v>220000</v>
      </c>
      <c r="S58" s="206">
        <v>5</v>
      </c>
      <c r="T58" s="45">
        <v>17</v>
      </c>
      <c r="U58" s="26"/>
      <c r="V58" s="8"/>
      <c r="W58" s="56"/>
      <c r="Y58" s="45">
        <v>17</v>
      </c>
      <c r="Z58" s="26"/>
      <c r="AA58" s="8"/>
      <c r="AB58" s="56"/>
      <c r="AD58" s="45">
        <v>17</v>
      </c>
      <c r="AE58" s="26">
        <v>40452</v>
      </c>
      <c r="AF58" s="8">
        <v>0.12929999981864104</v>
      </c>
      <c r="AG58" s="56" t="e">
        <f>IF(AD58&lt;'DADOS DOS EMPREENDIMENTOS'!AF$11,0,IF(AD58='DADOS DOS EMPREENDIMENTOS'!AF$11,SUM(AF$41:AF58)*(1-'DADOS DOS EMPREENDIMENTOS'!#REF!-'DADOS DOS EMPREENDIMENTOS'!#REF!)+'DADOS DOS EMPREENDIMENTOS'!#REF!,IF(AD58='DADOS DOS EMPREENDIMENTOS'!#REF!,'DADOS DOS EMPREENDIMENTOS'!#REF!,AF58*(1-'DADOS DOS EMPREENDIMENTOS'!#REF!-'DADOS DOS EMPREENDIMENTOS'!#REF!))))</f>
        <v>#REF!</v>
      </c>
      <c r="AI58" s="45">
        <v>17</v>
      </c>
      <c r="AJ58" s="26">
        <v>40452</v>
      </c>
      <c r="AK58" s="8">
        <v>0.12929999981864104</v>
      </c>
      <c r="AL58" s="56" t="e">
        <f>IF(AI58&lt;'DADOS DOS EMPREENDIMENTOS'!AK$11,0,IF(AI58='DADOS DOS EMPREENDIMENTOS'!AK$11,SUM(AK$41:AK58)*(1-'DADOS DOS EMPREENDIMENTOS'!#REF!-'DADOS DOS EMPREENDIMENTOS'!#REF!)+'DADOS DOS EMPREENDIMENTOS'!#REF!,IF(AI58='DADOS DOS EMPREENDIMENTOS'!#REF!,'DADOS DOS EMPREENDIMENTOS'!#REF!,AK58*(1-'DADOS DOS EMPREENDIMENTOS'!#REF!-'DADOS DOS EMPREENDIMENTOS'!#REF!))))</f>
        <v>#REF!</v>
      </c>
      <c r="AN58" s="45">
        <v>17</v>
      </c>
      <c r="AO58" s="26">
        <v>40452</v>
      </c>
      <c r="AP58" s="8">
        <v>0.12929999981864104</v>
      </c>
      <c r="AQ58" s="56" t="e">
        <f>IF(AN58&lt;'DADOS DOS EMPREENDIMENTOS'!AP$11,0,IF(AN58='DADOS DOS EMPREENDIMENTOS'!AP$11,SUM(AP$41:AP58)*(1-'DADOS DOS EMPREENDIMENTOS'!#REF!-'DADOS DOS EMPREENDIMENTOS'!#REF!)+'DADOS DOS EMPREENDIMENTOS'!#REF!,IF(AN58='DADOS DOS EMPREENDIMENTOS'!#REF!,'DADOS DOS EMPREENDIMENTOS'!#REF!,AP58*(1-'DADOS DOS EMPREENDIMENTOS'!#REF!-'DADOS DOS EMPREENDIMENTOS'!#REF!))))</f>
        <v>#REF!</v>
      </c>
      <c r="AS58" s="45">
        <v>17</v>
      </c>
      <c r="AT58" s="26">
        <v>40452</v>
      </c>
      <c r="AU58" s="8">
        <v>0.12929999981864104</v>
      </c>
      <c r="AV58" s="56" t="e">
        <f>IF(AS58&lt;'DADOS DOS EMPREENDIMENTOS'!AU$11,0,IF(AS58='DADOS DOS EMPREENDIMENTOS'!AU$11,SUM(AU$41:AU58)*(1-'DADOS DOS EMPREENDIMENTOS'!#REF!-'DADOS DOS EMPREENDIMENTOS'!#REF!)+'DADOS DOS EMPREENDIMENTOS'!#REF!,IF(AS58='DADOS DOS EMPREENDIMENTOS'!#REF!,'DADOS DOS EMPREENDIMENTOS'!#REF!,AU58*(1-'DADOS DOS EMPREENDIMENTOS'!#REF!-'DADOS DOS EMPREENDIMENTOS'!#REF!))))</f>
        <v>#REF!</v>
      </c>
      <c r="AX58" s="45">
        <v>17</v>
      </c>
      <c r="AY58" s="26">
        <v>40452</v>
      </c>
      <c r="AZ58" s="8">
        <v>0.12929999981864104</v>
      </c>
      <c r="BA58" s="56" t="e">
        <f>IF(AX58&lt;'DADOS DOS EMPREENDIMENTOS'!AZ$11,0,IF(AX58='DADOS DOS EMPREENDIMENTOS'!AZ$11,SUM(AZ$41:AZ58)*(1-'DADOS DOS EMPREENDIMENTOS'!#REF!-'DADOS DOS EMPREENDIMENTOS'!#REF!)+'DADOS DOS EMPREENDIMENTOS'!#REF!,IF(AX58='DADOS DOS EMPREENDIMENTOS'!#REF!,'DADOS DOS EMPREENDIMENTOS'!#REF!,AZ58*(1-'DADOS DOS EMPREENDIMENTOS'!#REF!-'DADOS DOS EMPREENDIMENTOS'!#REF!))))</f>
        <v>#REF!</v>
      </c>
      <c r="BC58" s="45">
        <v>17</v>
      </c>
      <c r="BD58" s="26">
        <v>40452</v>
      </c>
      <c r="BE58" s="8">
        <v>0.12929999981864104</v>
      </c>
      <c r="BF58" s="56" t="e">
        <f>IF(BC58&lt;'DADOS DOS EMPREENDIMENTOS'!BE$11,0,IF(BC58='DADOS DOS EMPREENDIMENTOS'!BE$11,SUM(BE$41:BE58)*(1-'DADOS DOS EMPREENDIMENTOS'!#REF!-'DADOS DOS EMPREENDIMENTOS'!#REF!)+'DADOS DOS EMPREENDIMENTOS'!#REF!,IF(BC58='DADOS DOS EMPREENDIMENTOS'!#REF!,'DADOS DOS EMPREENDIMENTOS'!#REF!,BE58*(1-'DADOS DOS EMPREENDIMENTOS'!#REF!-'DADOS DOS EMPREENDIMENTOS'!#REF!))))</f>
        <v>#REF!</v>
      </c>
      <c r="BH58" s="45">
        <v>17</v>
      </c>
      <c r="BI58" s="26">
        <v>40452</v>
      </c>
      <c r="BJ58" s="8">
        <v>0.12929999981864104</v>
      </c>
      <c r="BK58" s="56" t="e">
        <f>IF(BH58&lt;'DADOS DOS EMPREENDIMENTOS'!BJ$11,0,IF(BH58='DADOS DOS EMPREENDIMENTOS'!BJ$11,SUM(BJ$41:BJ58)*(1-'DADOS DOS EMPREENDIMENTOS'!#REF!-'DADOS DOS EMPREENDIMENTOS'!#REF!)+'DADOS DOS EMPREENDIMENTOS'!#REF!,IF(BH58='DADOS DOS EMPREENDIMENTOS'!#REF!,'DADOS DOS EMPREENDIMENTOS'!#REF!,BJ58*(1-'DADOS DOS EMPREENDIMENTOS'!#REF!-'DADOS DOS EMPREENDIMENTOS'!#REF!))))</f>
        <v>#REF!</v>
      </c>
      <c r="BM58" s="45">
        <v>17</v>
      </c>
      <c r="BN58" s="26">
        <v>40452</v>
      </c>
      <c r="BO58" s="8">
        <v>0.12929999981864104</v>
      </c>
      <c r="BP58" s="56" t="e">
        <f>IF(BM58&lt;'DADOS DOS EMPREENDIMENTOS'!BO$11,0,IF(BM58='DADOS DOS EMPREENDIMENTOS'!BO$11,SUM(BO$41:BO58)*(1-'DADOS DOS EMPREENDIMENTOS'!#REF!-'DADOS DOS EMPREENDIMENTOS'!#REF!)+'DADOS DOS EMPREENDIMENTOS'!#REF!,IF(BM58='DADOS DOS EMPREENDIMENTOS'!BO$12,'DADOS DOS EMPREENDIMENTOS'!#REF!,BO58*(1-'DADOS DOS EMPREENDIMENTOS'!#REF!-'DADOS DOS EMPREENDIMENTOS'!#REF!))))</f>
        <v>#REF!</v>
      </c>
      <c r="BR58" s="45">
        <v>17</v>
      </c>
      <c r="BS58" s="26">
        <v>40452</v>
      </c>
      <c r="BT58" s="8">
        <v>0.12929999981864104</v>
      </c>
      <c r="BU58" s="56" t="e">
        <f>IF(BR58&lt;'DADOS DOS EMPREENDIMENTOS'!BT$11,0,IF(BR58='DADOS DOS EMPREENDIMENTOS'!BT$11,SUM(BT$41:BT58)*(1-'DADOS DOS EMPREENDIMENTOS'!#REF!-'DADOS DOS EMPREENDIMENTOS'!#REF!)+'DADOS DOS EMPREENDIMENTOS'!#REF!,IF(BR58='DADOS DOS EMPREENDIMENTOS'!BT$12,'DADOS DOS EMPREENDIMENTOS'!#REF!,BT58*(1-'DADOS DOS EMPREENDIMENTOS'!#REF!-'DADOS DOS EMPREENDIMENTOS'!#REF!))))</f>
        <v>#REF!</v>
      </c>
      <c r="BW58" s="45">
        <v>17</v>
      </c>
      <c r="BX58" s="26">
        <v>40452</v>
      </c>
      <c r="BY58" s="8">
        <v>0.12929999981864104</v>
      </c>
      <c r="BZ58" s="56" t="e">
        <f>IF(BW58&lt;'DADOS DOS EMPREENDIMENTOS'!BY$11,0,IF(BW58='DADOS DOS EMPREENDIMENTOS'!BY$11,SUM(BY$41:BY58)*(1-'DADOS DOS EMPREENDIMENTOS'!#REF!-'DADOS DOS EMPREENDIMENTOS'!#REF!)+'DADOS DOS EMPREENDIMENTOS'!#REF!,IF(BW58='DADOS DOS EMPREENDIMENTOS'!BY$12,'DADOS DOS EMPREENDIMENTOS'!#REF!,BY58*(1-'DADOS DOS EMPREENDIMENTOS'!#REF!-'DADOS DOS EMPREENDIMENTOS'!#REF!))))</f>
        <v>#REF!</v>
      </c>
      <c r="CB58" s="45">
        <v>17</v>
      </c>
      <c r="CC58" s="26">
        <v>40452</v>
      </c>
      <c r="CD58" s="8">
        <v>0.12929999981864104</v>
      </c>
      <c r="CE58" s="56" t="e">
        <f>IF(CB58&lt;'DADOS DOS EMPREENDIMENTOS'!CD$11,0,IF(CB58='DADOS DOS EMPREENDIMENTOS'!CD$11,SUM(CD$41:CD58)*(1-'DADOS DOS EMPREENDIMENTOS'!#REF!-'DADOS DOS EMPREENDIMENTOS'!#REF!)+'DADOS DOS EMPREENDIMENTOS'!#REF!,IF(CB58='DADOS DOS EMPREENDIMENTOS'!CD$12,'DADOS DOS EMPREENDIMENTOS'!#REF!,CD58*(1-'DADOS DOS EMPREENDIMENTOS'!#REF!-'DADOS DOS EMPREENDIMENTOS'!#REF!))))</f>
        <v>#REF!</v>
      </c>
      <c r="CG58" s="45"/>
      <c r="CH58" s="26"/>
      <c r="CI58" s="8"/>
      <c r="CJ58" s="56"/>
    </row>
    <row r="59" spans="15:88" ht="12.75" customHeight="1" thickBot="1" x14ac:dyDescent="0.25">
      <c r="O59" s="38">
        <v>44</v>
      </c>
      <c r="P59" s="341" t="s">
        <v>265</v>
      </c>
      <c r="Q59" s="344">
        <f>VLOOKUP(P59,Apoio!C:E,2,0)</f>
        <v>239742.3</v>
      </c>
      <c r="R59" s="343">
        <v>220000</v>
      </c>
      <c r="S59" s="206">
        <v>5</v>
      </c>
      <c r="T59" s="45">
        <v>18</v>
      </c>
      <c r="U59" s="26"/>
      <c r="V59" s="8"/>
      <c r="W59" s="56"/>
      <c r="Y59" s="45">
        <v>18</v>
      </c>
      <c r="Z59" s="26"/>
      <c r="AA59" s="8"/>
      <c r="AB59" s="56"/>
      <c r="AD59" s="45">
        <v>18</v>
      </c>
      <c r="AE59" s="26">
        <v>40483</v>
      </c>
      <c r="AF59" s="8">
        <v>0.1043999999896966</v>
      </c>
      <c r="AG59" s="56" t="e">
        <f>IF(AD59&lt;'DADOS DOS EMPREENDIMENTOS'!AF$11,0,IF(AD59='DADOS DOS EMPREENDIMENTOS'!AF$11,SUM(AF$41:AF59)*(1-'DADOS DOS EMPREENDIMENTOS'!#REF!-'DADOS DOS EMPREENDIMENTOS'!#REF!)+'DADOS DOS EMPREENDIMENTOS'!#REF!,IF(AD59='DADOS DOS EMPREENDIMENTOS'!#REF!,'DADOS DOS EMPREENDIMENTOS'!#REF!,AF59*(1-'DADOS DOS EMPREENDIMENTOS'!#REF!-'DADOS DOS EMPREENDIMENTOS'!#REF!))))</f>
        <v>#REF!</v>
      </c>
      <c r="AI59" s="45">
        <v>18</v>
      </c>
      <c r="AJ59" s="26">
        <v>40483</v>
      </c>
      <c r="AK59" s="8">
        <v>0.1043999999896966</v>
      </c>
      <c r="AL59" s="56" t="e">
        <f>IF(AI59&lt;'DADOS DOS EMPREENDIMENTOS'!AK$11,0,IF(AI59='DADOS DOS EMPREENDIMENTOS'!AK$11,SUM(AK$41:AK59)*(1-'DADOS DOS EMPREENDIMENTOS'!#REF!-'DADOS DOS EMPREENDIMENTOS'!#REF!)+'DADOS DOS EMPREENDIMENTOS'!#REF!,IF(AI59='DADOS DOS EMPREENDIMENTOS'!#REF!,'DADOS DOS EMPREENDIMENTOS'!#REF!,AK59*(1-'DADOS DOS EMPREENDIMENTOS'!#REF!-'DADOS DOS EMPREENDIMENTOS'!#REF!))))</f>
        <v>#REF!</v>
      </c>
      <c r="AN59" s="45">
        <v>18</v>
      </c>
      <c r="AO59" s="26">
        <v>40483</v>
      </c>
      <c r="AP59" s="8">
        <v>0.1043999999896966</v>
      </c>
      <c r="AQ59" s="56" t="e">
        <f>IF(AN59&lt;'DADOS DOS EMPREENDIMENTOS'!AP$11,0,IF(AN59='DADOS DOS EMPREENDIMENTOS'!AP$11,SUM(AP$41:AP59)*(1-'DADOS DOS EMPREENDIMENTOS'!#REF!-'DADOS DOS EMPREENDIMENTOS'!#REF!)+'DADOS DOS EMPREENDIMENTOS'!#REF!,IF(AN59='DADOS DOS EMPREENDIMENTOS'!#REF!,'DADOS DOS EMPREENDIMENTOS'!#REF!,AP59*(1-'DADOS DOS EMPREENDIMENTOS'!#REF!-'DADOS DOS EMPREENDIMENTOS'!#REF!))))</f>
        <v>#REF!</v>
      </c>
      <c r="AS59" s="45">
        <v>18</v>
      </c>
      <c r="AT59" s="26">
        <v>40483</v>
      </c>
      <c r="AU59" s="8">
        <v>0.1043999999896966</v>
      </c>
      <c r="AV59" s="56" t="e">
        <f>IF(AS59&lt;'DADOS DOS EMPREENDIMENTOS'!AU$11,0,IF(AS59='DADOS DOS EMPREENDIMENTOS'!AU$11,SUM(AU$41:AU59)*(1-'DADOS DOS EMPREENDIMENTOS'!#REF!-'DADOS DOS EMPREENDIMENTOS'!#REF!)+'DADOS DOS EMPREENDIMENTOS'!#REF!,IF(AS59='DADOS DOS EMPREENDIMENTOS'!#REF!,'DADOS DOS EMPREENDIMENTOS'!#REF!,AU59*(1-'DADOS DOS EMPREENDIMENTOS'!#REF!-'DADOS DOS EMPREENDIMENTOS'!#REF!))))</f>
        <v>#REF!</v>
      </c>
      <c r="AX59" s="45">
        <v>18</v>
      </c>
      <c r="AY59" s="26">
        <v>40483</v>
      </c>
      <c r="AZ59" s="8">
        <v>0.1043999999896966</v>
      </c>
      <c r="BA59" s="56" t="e">
        <f>IF(AX59&lt;'DADOS DOS EMPREENDIMENTOS'!AZ$11,0,IF(AX59='DADOS DOS EMPREENDIMENTOS'!AZ$11,SUM(AZ$41:AZ59)*(1-'DADOS DOS EMPREENDIMENTOS'!#REF!-'DADOS DOS EMPREENDIMENTOS'!#REF!)+'DADOS DOS EMPREENDIMENTOS'!#REF!,IF(AX59='DADOS DOS EMPREENDIMENTOS'!#REF!,'DADOS DOS EMPREENDIMENTOS'!#REF!,AZ59*(1-'DADOS DOS EMPREENDIMENTOS'!#REF!-'DADOS DOS EMPREENDIMENTOS'!#REF!))))</f>
        <v>#REF!</v>
      </c>
      <c r="BC59" s="45">
        <v>18</v>
      </c>
      <c r="BD59" s="26">
        <v>40483</v>
      </c>
      <c r="BE59" s="8">
        <v>0.1043999999896966</v>
      </c>
      <c r="BF59" s="56" t="e">
        <f>IF(BC59&lt;'DADOS DOS EMPREENDIMENTOS'!BE$11,0,IF(BC59='DADOS DOS EMPREENDIMENTOS'!BE$11,SUM(BE$41:BE59)*(1-'DADOS DOS EMPREENDIMENTOS'!#REF!-'DADOS DOS EMPREENDIMENTOS'!#REF!)+'DADOS DOS EMPREENDIMENTOS'!#REF!,IF(BC59='DADOS DOS EMPREENDIMENTOS'!#REF!,'DADOS DOS EMPREENDIMENTOS'!#REF!,BE59*(1-'DADOS DOS EMPREENDIMENTOS'!#REF!-'DADOS DOS EMPREENDIMENTOS'!#REF!))))</f>
        <v>#REF!</v>
      </c>
      <c r="BH59" s="45">
        <v>18</v>
      </c>
      <c r="BI59" s="26">
        <v>40483</v>
      </c>
      <c r="BJ59" s="8">
        <v>0.1043999999896966</v>
      </c>
      <c r="BK59" s="56" t="e">
        <f>IF(BH59&lt;'DADOS DOS EMPREENDIMENTOS'!BJ$11,0,IF(BH59='DADOS DOS EMPREENDIMENTOS'!BJ$11,SUM(BJ$41:BJ59)*(1-'DADOS DOS EMPREENDIMENTOS'!#REF!-'DADOS DOS EMPREENDIMENTOS'!#REF!)+'DADOS DOS EMPREENDIMENTOS'!#REF!,IF(BH59='DADOS DOS EMPREENDIMENTOS'!#REF!,'DADOS DOS EMPREENDIMENTOS'!#REF!,BJ59*(1-'DADOS DOS EMPREENDIMENTOS'!#REF!-'DADOS DOS EMPREENDIMENTOS'!#REF!))))</f>
        <v>#REF!</v>
      </c>
      <c r="BM59" s="45">
        <v>18</v>
      </c>
      <c r="BN59" s="26">
        <v>40483</v>
      </c>
      <c r="BO59" s="8">
        <v>0.1043999999896966</v>
      </c>
      <c r="BP59" s="56" t="e">
        <f>IF(BM59&lt;'DADOS DOS EMPREENDIMENTOS'!BO$11,0,IF(BM59='DADOS DOS EMPREENDIMENTOS'!BO$11,SUM(BO$41:BO59)*(1-'DADOS DOS EMPREENDIMENTOS'!#REF!-'DADOS DOS EMPREENDIMENTOS'!#REF!)+'DADOS DOS EMPREENDIMENTOS'!#REF!,IF(BM59='DADOS DOS EMPREENDIMENTOS'!BO$12,'DADOS DOS EMPREENDIMENTOS'!#REF!,BO59*(1-'DADOS DOS EMPREENDIMENTOS'!#REF!-'DADOS DOS EMPREENDIMENTOS'!#REF!))))</f>
        <v>#REF!</v>
      </c>
      <c r="BR59" s="45">
        <v>18</v>
      </c>
      <c r="BS59" s="26">
        <v>40483</v>
      </c>
      <c r="BT59" s="8">
        <v>0.1043999999896966</v>
      </c>
      <c r="BU59" s="56" t="e">
        <f>IF(BR59&lt;'DADOS DOS EMPREENDIMENTOS'!BT$11,0,IF(BR59='DADOS DOS EMPREENDIMENTOS'!BT$11,SUM(BT$41:BT59)*(1-'DADOS DOS EMPREENDIMENTOS'!#REF!-'DADOS DOS EMPREENDIMENTOS'!#REF!)+'DADOS DOS EMPREENDIMENTOS'!#REF!,IF(BR59='DADOS DOS EMPREENDIMENTOS'!BT$12,'DADOS DOS EMPREENDIMENTOS'!#REF!,BT59*(1-'DADOS DOS EMPREENDIMENTOS'!#REF!-'DADOS DOS EMPREENDIMENTOS'!#REF!))))</f>
        <v>#REF!</v>
      </c>
      <c r="BW59" s="45">
        <v>18</v>
      </c>
      <c r="BX59" s="26">
        <v>40483</v>
      </c>
      <c r="BY59" s="8">
        <v>0.1043999999896966</v>
      </c>
      <c r="BZ59" s="56" t="e">
        <f>IF(BW59&lt;'DADOS DOS EMPREENDIMENTOS'!BY$11,0,IF(BW59='DADOS DOS EMPREENDIMENTOS'!BY$11,SUM(BY$41:BY59)*(1-'DADOS DOS EMPREENDIMENTOS'!#REF!-'DADOS DOS EMPREENDIMENTOS'!#REF!)+'DADOS DOS EMPREENDIMENTOS'!#REF!,IF(BW59='DADOS DOS EMPREENDIMENTOS'!BY$12,'DADOS DOS EMPREENDIMENTOS'!#REF!,BY59*(1-'DADOS DOS EMPREENDIMENTOS'!#REF!-'DADOS DOS EMPREENDIMENTOS'!#REF!))))</f>
        <v>#REF!</v>
      </c>
      <c r="CB59" s="45">
        <v>18</v>
      </c>
      <c r="CC59" s="26">
        <v>40483</v>
      </c>
      <c r="CD59" s="8">
        <v>0.1043999999896966</v>
      </c>
      <c r="CE59" s="56" t="e">
        <f>IF(CB59&lt;'DADOS DOS EMPREENDIMENTOS'!CD$11,0,IF(CB59='DADOS DOS EMPREENDIMENTOS'!CD$11,SUM(CD$41:CD59)*(1-'DADOS DOS EMPREENDIMENTOS'!#REF!-'DADOS DOS EMPREENDIMENTOS'!#REF!)+'DADOS DOS EMPREENDIMENTOS'!#REF!,IF(CB59='DADOS DOS EMPREENDIMENTOS'!CD$12,'DADOS DOS EMPREENDIMENTOS'!#REF!,CD59*(1-'DADOS DOS EMPREENDIMENTOS'!#REF!-'DADOS DOS EMPREENDIMENTOS'!#REF!))))</f>
        <v>#REF!</v>
      </c>
      <c r="CG59" s="45"/>
      <c r="CH59" s="26"/>
      <c r="CI59" s="8"/>
      <c r="CJ59" s="56"/>
    </row>
    <row r="60" spans="15:88" ht="12.75" customHeight="1" thickBot="1" x14ac:dyDescent="0.25">
      <c r="O60" s="36">
        <v>45</v>
      </c>
      <c r="P60" s="341" t="s">
        <v>266</v>
      </c>
      <c r="Q60" s="344">
        <f>VLOOKUP(P60,Apoio!C:E,2,0)</f>
        <v>239742.3</v>
      </c>
      <c r="R60" s="343">
        <v>220000</v>
      </c>
      <c r="S60" s="206">
        <v>5</v>
      </c>
      <c r="T60" s="45">
        <v>19</v>
      </c>
      <c r="U60" s="26"/>
      <c r="V60" s="8"/>
      <c r="W60" s="56"/>
      <c r="Y60" s="45">
        <v>19</v>
      </c>
      <c r="Z60" s="26"/>
      <c r="AA60" s="8"/>
      <c r="AB60" s="56"/>
      <c r="AD60" s="45">
        <v>19</v>
      </c>
      <c r="AE60" s="26">
        <v>40513</v>
      </c>
      <c r="AF60" s="8">
        <v>5.6100000154837237E-2</v>
      </c>
      <c r="AG60" s="56" t="e">
        <f>IF(AD60&lt;'DADOS DOS EMPREENDIMENTOS'!AF$11,0,IF(AD60='DADOS DOS EMPREENDIMENTOS'!AF$11,SUM(AF$41:AF60)*(1-'DADOS DOS EMPREENDIMENTOS'!#REF!-'DADOS DOS EMPREENDIMENTOS'!#REF!)+'DADOS DOS EMPREENDIMENTOS'!#REF!,IF(AD60='DADOS DOS EMPREENDIMENTOS'!#REF!,'DADOS DOS EMPREENDIMENTOS'!#REF!,AF60*(1-'DADOS DOS EMPREENDIMENTOS'!#REF!-'DADOS DOS EMPREENDIMENTOS'!#REF!))))</f>
        <v>#REF!</v>
      </c>
      <c r="AI60" s="45">
        <v>19</v>
      </c>
      <c r="AJ60" s="26">
        <v>40513</v>
      </c>
      <c r="AK60" s="8">
        <v>5.6100000154837237E-2</v>
      </c>
      <c r="AL60" s="56" t="e">
        <f>IF(AI60&lt;'DADOS DOS EMPREENDIMENTOS'!AK$11,0,IF(AI60='DADOS DOS EMPREENDIMENTOS'!AK$11,SUM(AK$41:AK60)*(1-'DADOS DOS EMPREENDIMENTOS'!#REF!-'DADOS DOS EMPREENDIMENTOS'!#REF!)+'DADOS DOS EMPREENDIMENTOS'!#REF!,IF(AI60='DADOS DOS EMPREENDIMENTOS'!#REF!,'DADOS DOS EMPREENDIMENTOS'!#REF!,AK60*(1-'DADOS DOS EMPREENDIMENTOS'!#REF!-'DADOS DOS EMPREENDIMENTOS'!#REF!))))</f>
        <v>#REF!</v>
      </c>
      <c r="AN60" s="45">
        <v>19</v>
      </c>
      <c r="AO60" s="26">
        <v>40513</v>
      </c>
      <c r="AP60" s="8">
        <v>5.6100000154837237E-2</v>
      </c>
      <c r="AQ60" s="56" t="e">
        <f>IF(AN60&lt;'DADOS DOS EMPREENDIMENTOS'!AP$11,0,IF(AN60='DADOS DOS EMPREENDIMENTOS'!AP$11,SUM(AP$41:AP60)*(1-'DADOS DOS EMPREENDIMENTOS'!#REF!-'DADOS DOS EMPREENDIMENTOS'!#REF!)+'DADOS DOS EMPREENDIMENTOS'!#REF!,IF(AN60='DADOS DOS EMPREENDIMENTOS'!#REF!,'DADOS DOS EMPREENDIMENTOS'!#REF!,AP60*(1-'DADOS DOS EMPREENDIMENTOS'!#REF!-'DADOS DOS EMPREENDIMENTOS'!#REF!))))</f>
        <v>#REF!</v>
      </c>
      <c r="AS60" s="45">
        <v>19</v>
      </c>
      <c r="AT60" s="26">
        <v>40513</v>
      </c>
      <c r="AU60" s="8">
        <v>5.6100000154837237E-2</v>
      </c>
      <c r="AV60" s="56" t="e">
        <f>IF(AS60&lt;'DADOS DOS EMPREENDIMENTOS'!AU$11,0,IF(AS60='DADOS DOS EMPREENDIMENTOS'!AU$11,SUM(AU$41:AU60)*(1-'DADOS DOS EMPREENDIMENTOS'!#REF!-'DADOS DOS EMPREENDIMENTOS'!#REF!)+'DADOS DOS EMPREENDIMENTOS'!#REF!,IF(AS60='DADOS DOS EMPREENDIMENTOS'!#REF!,'DADOS DOS EMPREENDIMENTOS'!#REF!,AU60*(1-'DADOS DOS EMPREENDIMENTOS'!#REF!-'DADOS DOS EMPREENDIMENTOS'!#REF!))))</f>
        <v>#REF!</v>
      </c>
      <c r="AX60" s="45">
        <v>19</v>
      </c>
      <c r="AY60" s="26">
        <v>40513</v>
      </c>
      <c r="AZ60" s="8">
        <v>5.6100000154837237E-2</v>
      </c>
      <c r="BA60" s="56" t="e">
        <f>IF(AX60&lt;'DADOS DOS EMPREENDIMENTOS'!AZ$11,0,IF(AX60='DADOS DOS EMPREENDIMENTOS'!AZ$11,SUM(AZ$41:AZ60)*(1-'DADOS DOS EMPREENDIMENTOS'!#REF!-'DADOS DOS EMPREENDIMENTOS'!#REF!)+'DADOS DOS EMPREENDIMENTOS'!#REF!,IF(AX60='DADOS DOS EMPREENDIMENTOS'!#REF!,'DADOS DOS EMPREENDIMENTOS'!#REF!,AZ60*(1-'DADOS DOS EMPREENDIMENTOS'!#REF!-'DADOS DOS EMPREENDIMENTOS'!#REF!))))</f>
        <v>#REF!</v>
      </c>
      <c r="BC60" s="45">
        <v>19</v>
      </c>
      <c r="BD60" s="26">
        <v>40513</v>
      </c>
      <c r="BE60" s="8">
        <v>5.6100000154837237E-2</v>
      </c>
      <c r="BF60" s="56" t="e">
        <f>IF(BC60&lt;'DADOS DOS EMPREENDIMENTOS'!BE$11,0,IF(BC60='DADOS DOS EMPREENDIMENTOS'!BE$11,SUM(BE$41:BE60)*(1-'DADOS DOS EMPREENDIMENTOS'!#REF!-'DADOS DOS EMPREENDIMENTOS'!#REF!)+'DADOS DOS EMPREENDIMENTOS'!#REF!,IF(BC60='DADOS DOS EMPREENDIMENTOS'!#REF!,'DADOS DOS EMPREENDIMENTOS'!#REF!,BE60*(1-'DADOS DOS EMPREENDIMENTOS'!#REF!-'DADOS DOS EMPREENDIMENTOS'!#REF!))))</f>
        <v>#REF!</v>
      </c>
      <c r="BH60" s="45">
        <v>19</v>
      </c>
      <c r="BI60" s="26">
        <v>40513</v>
      </c>
      <c r="BJ60" s="8">
        <v>5.6100000154837237E-2</v>
      </c>
      <c r="BK60" s="56" t="e">
        <f>IF(BH60&lt;'DADOS DOS EMPREENDIMENTOS'!BJ$11,0,IF(BH60='DADOS DOS EMPREENDIMENTOS'!BJ$11,SUM(BJ$41:BJ60)*(1-'DADOS DOS EMPREENDIMENTOS'!#REF!-'DADOS DOS EMPREENDIMENTOS'!#REF!)+'DADOS DOS EMPREENDIMENTOS'!#REF!,IF(BH60='DADOS DOS EMPREENDIMENTOS'!#REF!,'DADOS DOS EMPREENDIMENTOS'!#REF!,BJ60*(1-'DADOS DOS EMPREENDIMENTOS'!#REF!-'DADOS DOS EMPREENDIMENTOS'!#REF!))))</f>
        <v>#REF!</v>
      </c>
      <c r="BM60" s="45">
        <v>19</v>
      </c>
      <c r="BN60" s="26">
        <v>40513</v>
      </c>
      <c r="BO60" s="8">
        <v>5.6100000154837237E-2</v>
      </c>
      <c r="BP60" s="56" t="e">
        <f>IF(BM60&lt;'DADOS DOS EMPREENDIMENTOS'!BO$11,0,IF(BM60='DADOS DOS EMPREENDIMENTOS'!BO$11,SUM(BO$41:BO60)*(1-'DADOS DOS EMPREENDIMENTOS'!#REF!-'DADOS DOS EMPREENDIMENTOS'!#REF!)+'DADOS DOS EMPREENDIMENTOS'!#REF!,IF(BM60='DADOS DOS EMPREENDIMENTOS'!BO$12,'DADOS DOS EMPREENDIMENTOS'!#REF!,BO60*(1-'DADOS DOS EMPREENDIMENTOS'!#REF!-'DADOS DOS EMPREENDIMENTOS'!#REF!))))</f>
        <v>#REF!</v>
      </c>
      <c r="BR60" s="45">
        <v>19</v>
      </c>
      <c r="BS60" s="26">
        <v>40513</v>
      </c>
      <c r="BT60" s="8">
        <v>5.6100000154837237E-2</v>
      </c>
      <c r="BU60" s="56" t="e">
        <f>IF(BR60&lt;'DADOS DOS EMPREENDIMENTOS'!BT$11,0,IF(BR60='DADOS DOS EMPREENDIMENTOS'!BT$11,SUM(BT$41:BT60)*(1-'DADOS DOS EMPREENDIMENTOS'!#REF!-'DADOS DOS EMPREENDIMENTOS'!#REF!)+'DADOS DOS EMPREENDIMENTOS'!#REF!,IF(BR60='DADOS DOS EMPREENDIMENTOS'!BT$12,'DADOS DOS EMPREENDIMENTOS'!#REF!,BT60*(1-'DADOS DOS EMPREENDIMENTOS'!#REF!-'DADOS DOS EMPREENDIMENTOS'!#REF!))))</f>
        <v>#REF!</v>
      </c>
      <c r="BW60" s="45">
        <v>19</v>
      </c>
      <c r="BX60" s="26">
        <v>40513</v>
      </c>
      <c r="BY60" s="8">
        <v>5.6100000154837237E-2</v>
      </c>
      <c r="BZ60" s="56" t="e">
        <f>IF(BW60&lt;'DADOS DOS EMPREENDIMENTOS'!BY$11,0,IF(BW60='DADOS DOS EMPREENDIMENTOS'!BY$11,SUM(BY$41:BY60)*(1-'DADOS DOS EMPREENDIMENTOS'!#REF!-'DADOS DOS EMPREENDIMENTOS'!#REF!)+'DADOS DOS EMPREENDIMENTOS'!#REF!,IF(BW60='DADOS DOS EMPREENDIMENTOS'!BY$12,'DADOS DOS EMPREENDIMENTOS'!#REF!,BY60*(1-'DADOS DOS EMPREENDIMENTOS'!#REF!-'DADOS DOS EMPREENDIMENTOS'!#REF!))))</f>
        <v>#REF!</v>
      </c>
      <c r="CB60" s="45">
        <v>19</v>
      </c>
      <c r="CC60" s="26">
        <v>40513</v>
      </c>
      <c r="CD60" s="8">
        <v>5.6100000154837237E-2</v>
      </c>
      <c r="CE60" s="56" t="e">
        <f>IF(CB60&lt;'DADOS DOS EMPREENDIMENTOS'!CD$11,0,IF(CB60='DADOS DOS EMPREENDIMENTOS'!CD$11,SUM(CD$41:CD60)*(1-'DADOS DOS EMPREENDIMENTOS'!#REF!-'DADOS DOS EMPREENDIMENTOS'!#REF!)+'DADOS DOS EMPREENDIMENTOS'!#REF!,IF(CB60='DADOS DOS EMPREENDIMENTOS'!CD$12,'DADOS DOS EMPREENDIMENTOS'!#REF!,CD60*(1-'DADOS DOS EMPREENDIMENTOS'!#REF!-'DADOS DOS EMPREENDIMENTOS'!#REF!))))</f>
        <v>#REF!</v>
      </c>
      <c r="CG60" s="45"/>
      <c r="CH60" s="26"/>
      <c r="CI60" s="8"/>
      <c r="CJ60" s="56"/>
    </row>
    <row r="61" spans="15:88" ht="12.75" customHeight="1" thickBot="1" x14ac:dyDescent="0.25">
      <c r="O61" s="38">
        <v>46</v>
      </c>
      <c r="P61" s="341" t="s">
        <v>267</v>
      </c>
      <c r="Q61" s="344">
        <f>VLOOKUP(P61,Apoio!C:E,2,0)</f>
        <v>239240.1</v>
      </c>
      <c r="R61" s="343">
        <v>220000</v>
      </c>
      <c r="S61" s="206">
        <v>5</v>
      </c>
      <c r="T61" s="45">
        <v>20</v>
      </c>
      <c r="U61" s="26"/>
      <c r="V61" s="8"/>
      <c r="W61" s="56"/>
      <c r="Y61" s="45">
        <v>20</v>
      </c>
      <c r="Z61" s="26"/>
      <c r="AA61" s="8"/>
      <c r="AB61" s="56"/>
      <c r="AD61" s="45">
        <v>20</v>
      </c>
      <c r="AE61" s="26">
        <v>40544</v>
      </c>
      <c r="AF61" s="8">
        <v>8.9000001265982839E-3</v>
      </c>
      <c r="AG61" s="56" t="e">
        <f>IF(AD61&lt;'DADOS DOS EMPREENDIMENTOS'!AF$11,0,IF(AD61='DADOS DOS EMPREENDIMENTOS'!AF$11,SUM(AF$41:AF61)*(1-'DADOS DOS EMPREENDIMENTOS'!#REF!-'DADOS DOS EMPREENDIMENTOS'!#REF!)+'DADOS DOS EMPREENDIMENTOS'!#REF!,IF(AD61='DADOS DOS EMPREENDIMENTOS'!#REF!,'DADOS DOS EMPREENDIMENTOS'!#REF!,AF61*(1-'DADOS DOS EMPREENDIMENTOS'!#REF!-'DADOS DOS EMPREENDIMENTOS'!#REF!))))</f>
        <v>#REF!</v>
      </c>
      <c r="AI61" s="45">
        <v>20</v>
      </c>
      <c r="AJ61" s="26">
        <v>40544</v>
      </c>
      <c r="AK61" s="8">
        <v>8.9000001265982839E-3</v>
      </c>
      <c r="AL61" s="56" t="e">
        <f>IF(AI61&lt;'DADOS DOS EMPREENDIMENTOS'!AK$11,0,IF(AI61='DADOS DOS EMPREENDIMENTOS'!AK$11,SUM(AK$41:AK61)*(1-'DADOS DOS EMPREENDIMENTOS'!#REF!-'DADOS DOS EMPREENDIMENTOS'!#REF!)+'DADOS DOS EMPREENDIMENTOS'!#REF!,IF(AI61='DADOS DOS EMPREENDIMENTOS'!#REF!,'DADOS DOS EMPREENDIMENTOS'!#REF!,AK61*(1-'DADOS DOS EMPREENDIMENTOS'!#REF!-'DADOS DOS EMPREENDIMENTOS'!#REF!))))</f>
        <v>#REF!</v>
      </c>
      <c r="AN61" s="45">
        <v>20</v>
      </c>
      <c r="AO61" s="26">
        <v>40544</v>
      </c>
      <c r="AP61" s="8">
        <v>8.9000001265982839E-3</v>
      </c>
      <c r="AQ61" s="56" t="e">
        <f>IF(AN61&lt;'DADOS DOS EMPREENDIMENTOS'!AP$11,0,IF(AN61='DADOS DOS EMPREENDIMENTOS'!AP$11,SUM(AP$41:AP61)*(1-'DADOS DOS EMPREENDIMENTOS'!#REF!-'DADOS DOS EMPREENDIMENTOS'!#REF!)+'DADOS DOS EMPREENDIMENTOS'!#REF!,IF(AN61='DADOS DOS EMPREENDIMENTOS'!#REF!,'DADOS DOS EMPREENDIMENTOS'!#REF!,AP61*(1-'DADOS DOS EMPREENDIMENTOS'!#REF!-'DADOS DOS EMPREENDIMENTOS'!#REF!))))</f>
        <v>#REF!</v>
      </c>
      <c r="AS61" s="45">
        <v>20</v>
      </c>
      <c r="AT61" s="26">
        <v>40544</v>
      </c>
      <c r="AU61" s="8">
        <v>8.9000001265982839E-3</v>
      </c>
      <c r="AV61" s="56" t="e">
        <f>IF(AS61&lt;'DADOS DOS EMPREENDIMENTOS'!AU$11,0,IF(AS61='DADOS DOS EMPREENDIMENTOS'!AU$11,SUM(AU$41:AU61)*(1-'DADOS DOS EMPREENDIMENTOS'!#REF!-'DADOS DOS EMPREENDIMENTOS'!#REF!)+'DADOS DOS EMPREENDIMENTOS'!#REF!,IF(AS61='DADOS DOS EMPREENDIMENTOS'!#REF!,'DADOS DOS EMPREENDIMENTOS'!#REF!,AU61*(1-'DADOS DOS EMPREENDIMENTOS'!#REF!-'DADOS DOS EMPREENDIMENTOS'!#REF!))))</f>
        <v>#REF!</v>
      </c>
      <c r="AX61" s="45">
        <v>20</v>
      </c>
      <c r="AY61" s="26">
        <v>40544</v>
      </c>
      <c r="AZ61" s="8">
        <v>8.9000001265982839E-3</v>
      </c>
      <c r="BA61" s="56" t="e">
        <f>IF(AX61&lt;'DADOS DOS EMPREENDIMENTOS'!AZ$11,0,IF(AX61='DADOS DOS EMPREENDIMENTOS'!AZ$11,SUM(AZ$41:AZ61)*(1-'DADOS DOS EMPREENDIMENTOS'!#REF!-'DADOS DOS EMPREENDIMENTOS'!#REF!)+'DADOS DOS EMPREENDIMENTOS'!#REF!,IF(AX61='DADOS DOS EMPREENDIMENTOS'!#REF!,'DADOS DOS EMPREENDIMENTOS'!#REF!,AZ61*(1-'DADOS DOS EMPREENDIMENTOS'!#REF!-'DADOS DOS EMPREENDIMENTOS'!#REF!))))</f>
        <v>#REF!</v>
      </c>
      <c r="BC61" s="45">
        <v>20</v>
      </c>
      <c r="BD61" s="26">
        <v>40544</v>
      </c>
      <c r="BE61" s="8">
        <v>8.9000001265982839E-3</v>
      </c>
      <c r="BF61" s="56" t="e">
        <f>IF(BC61&lt;'DADOS DOS EMPREENDIMENTOS'!BE$11,0,IF(BC61='DADOS DOS EMPREENDIMENTOS'!BE$11,SUM(BE$41:BE61)*(1-'DADOS DOS EMPREENDIMENTOS'!#REF!-'DADOS DOS EMPREENDIMENTOS'!#REF!)+'DADOS DOS EMPREENDIMENTOS'!#REF!,IF(BC61='DADOS DOS EMPREENDIMENTOS'!#REF!,'DADOS DOS EMPREENDIMENTOS'!#REF!,BE61*(1-'DADOS DOS EMPREENDIMENTOS'!#REF!-'DADOS DOS EMPREENDIMENTOS'!#REF!))))</f>
        <v>#REF!</v>
      </c>
      <c r="BH61" s="45">
        <v>20</v>
      </c>
      <c r="BI61" s="26">
        <v>40544</v>
      </c>
      <c r="BJ61" s="8">
        <v>8.9000001265982839E-3</v>
      </c>
      <c r="BK61" s="56" t="e">
        <f>IF(BH61&lt;'DADOS DOS EMPREENDIMENTOS'!BJ$11,0,IF(BH61='DADOS DOS EMPREENDIMENTOS'!BJ$11,SUM(BJ$41:BJ61)*(1-'DADOS DOS EMPREENDIMENTOS'!#REF!-'DADOS DOS EMPREENDIMENTOS'!#REF!)+'DADOS DOS EMPREENDIMENTOS'!#REF!,IF(BH61='DADOS DOS EMPREENDIMENTOS'!#REF!,'DADOS DOS EMPREENDIMENTOS'!#REF!,BJ61*(1-'DADOS DOS EMPREENDIMENTOS'!#REF!-'DADOS DOS EMPREENDIMENTOS'!#REF!))))</f>
        <v>#REF!</v>
      </c>
      <c r="BM61" s="45">
        <v>20</v>
      </c>
      <c r="BN61" s="26">
        <v>40544</v>
      </c>
      <c r="BO61" s="8">
        <v>8.9000001265982839E-3</v>
      </c>
      <c r="BP61" s="56" t="e">
        <f>IF(BM61&lt;'DADOS DOS EMPREENDIMENTOS'!BO$11,0,IF(BM61='DADOS DOS EMPREENDIMENTOS'!BO$11,SUM(BO$41:BO61)*(1-'DADOS DOS EMPREENDIMENTOS'!#REF!-'DADOS DOS EMPREENDIMENTOS'!#REF!)+'DADOS DOS EMPREENDIMENTOS'!#REF!,IF(BM61='DADOS DOS EMPREENDIMENTOS'!BO$12,'DADOS DOS EMPREENDIMENTOS'!#REF!,BO61*(1-'DADOS DOS EMPREENDIMENTOS'!#REF!-'DADOS DOS EMPREENDIMENTOS'!#REF!))))</f>
        <v>#REF!</v>
      </c>
      <c r="BR61" s="45">
        <v>20</v>
      </c>
      <c r="BS61" s="26">
        <v>40544</v>
      </c>
      <c r="BT61" s="8">
        <v>8.9000001265982839E-3</v>
      </c>
      <c r="BU61" s="56" t="e">
        <f>IF(BR61&lt;'DADOS DOS EMPREENDIMENTOS'!BT$11,0,IF(BR61='DADOS DOS EMPREENDIMENTOS'!BT$11,SUM(BT$41:BT61)*(1-'DADOS DOS EMPREENDIMENTOS'!#REF!-'DADOS DOS EMPREENDIMENTOS'!#REF!)+'DADOS DOS EMPREENDIMENTOS'!#REF!,IF(BR61='DADOS DOS EMPREENDIMENTOS'!BT$12,'DADOS DOS EMPREENDIMENTOS'!#REF!,BT61*(1-'DADOS DOS EMPREENDIMENTOS'!#REF!-'DADOS DOS EMPREENDIMENTOS'!#REF!))))</f>
        <v>#REF!</v>
      </c>
      <c r="BW61" s="45">
        <v>20</v>
      </c>
      <c r="BX61" s="26">
        <v>40544</v>
      </c>
      <c r="BY61" s="8">
        <v>8.9000001265982839E-3</v>
      </c>
      <c r="BZ61" s="56" t="e">
        <f>IF(BW61&lt;'DADOS DOS EMPREENDIMENTOS'!BY$11,0,IF(BW61='DADOS DOS EMPREENDIMENTOS'!BY$11,SUM(BY$41:BY61)*(1-'DADOS DOS EMPREENDIMENTOS'!#REF!-'DADOS DOS EMPREENDIMENTOS'!#REF!)+'DADOS DOS EMPREENDIMENTOS'!#REF!,IF(BW61='DADOS DOS EMPREENDIMENTOS'!BY$12,'DADOS DOS EMPREENDIMENTOS'!#REF!,BY61*(1-'DADOS DOS EMPREENDIMENTOS'!#REF!-'DADOS DOS EMPREENDIMENTOS'!#REF!))))</f>
        <v>#REF!</v>
      </c>
      <c r="CB61" s="45">
        <v>20</v>
      </c>
      <c r="CC61" s="26">
        <v>40544</v>
      </c>
      <c r="CD61" s="8">
        <v>8.9000001265982839E-3</v>
      </c>
      <c r="CE61" s="56" t="e">
        <f>IF(CB61&lt;'DADOS DOS EMPREENDIMENTOS'!CD$11,0,IF(CB61='DADOS DOS EMPREENDIMENTOS'!CD$11,SUM(CD$41:CD61)*(1-'DADOS DOS EMPREENDIMENTOS'!#REF!-'DADOS DOS EMPREENDIMENTOS'!#REF!)+'DADOS DOS EMPREENDIMENTOS'!#REF!,IF(CB61='DADOS DOS EMPREENDIMENTOS'!CD$12,'DADOS DOS EMPREENDIMENTOS'!#REF!,CD61*(1-'DADOS DOS EMPREENDIMENTOS'!#REF!-'DADOS DOS EMPREENDIMENTOS'!#REF!))))</f>
        <v>#REF!</v>
      </c>
      <c r="CG61" s="45"/>
      <c r="CH61" s="26"/>
      <c r="CI61" s="8"/>
      <c r="CJ61" s="56"/>
    </row>
    <row r="62" spans="15:88" ht="12.75" customHeight="1" thickBot="1" x14ac:dyDescent="0.25">
      <c r="O62" s="36">
        <v>47</v>
      </c>
      <c r="P62" s="341" t="s">
        <v>268</v>
      </c>
      <c r="Q62" s="344">
        <f>VLOOKUP(P62,Apoio!C:E,2,0)</f>
        <v>236871.8</v>
      </c>
      <c r="R62" s="343">
        <v>220000</v>
      </c>
      <c r="S62" s="206">
        <v>5</v>
      </c>
      <c r="T62" s="45">
        <v>21</v>
      </c>
      <c r="U62" s="26"/>
      <c r="V62" s="8"/>
      <c r="W62" s="56"/>
      <c r="Y62" s="45">
        <v>21</v>
      </c>
      <c r="Z62" s="26"/>
      <c r="AA62" s="8"/>
      <c r="AB62" s="56"/>
      <c r="AD62" s="45">
        <v>21</v>
      </c>
      <c r="AE62" s="26">
        <v>40575</v>
      </c>
      <c r="AF62" s="8">
        <v>0</v>
      </c>
      <c r="AG62" s="56" t="e">
        <f>IF(AD62&lt;'DADOS DOS EMPREENDIMENTOS'!AF$11,0,IF(AD62='DADOS DOS EMPREENDIMENTOS'!AF$11,SUM(AF$41:AF62)*(1-'DADOS DOS EMPREENDIMENTOS'!#REF!-'DADOS DOS EMPREENDIMENTOS'!#REF!)+'DADOS DOS EMPREENDIMENTOS'!#REF!,IF(AD62='DADOS DOS EMPREENDIMENTOS'!#REF!,'DADOS DOS EMPREENDIMENTOS'!#REF!,AF62*(1-'DADOS DOS EMPREENDIMENTOS'!#REF!-'DADOS DOS EMPREENDIMENTOS'!#REF!))))</f>
        <v>#REF!</v>
      </c>
      <c r="AI62" s="45">
        <v>21</v>
      </c>
      <c r="AJ62" s="26">
        <v>40575</v>
      </c>
      <c r="AK62" s="8">
        <v>0</v>
      </c>
      <c r="AL62" s="56" t="e">
        <f>IF(AI62&lt;'DADOS DOS EMPREENDIMENTOS'!AK$11,0,IF(AI62='DADOS DOS EMPREENDIMENTOS'!AK$11,SUM(AK$41:AK62)*(1-'DADOS DOS EMPREENDIMENTOS'!#REF!-'DADOS DOS EMPREENDIMENTOS'!#REF!)+'DADOS DOS EMPREENDIMENTOS'!#REF!,IF(AI62='DADOS DOS EMPREENDIMENTOS'!#REF!,'DADOS DOS EMPREENDIMENTOS'!#REF!,AK62*(1-'DADOS DOS EMPREENDIMENTOS'!#REF!-'DADOS DOS EMPREENDIMENTOS'!#REF!))))</f>
        <v>#REF!</v>
      </c>
      <c r="AN62" s="45">
        <v>21</v>
      </c>
      <c r="AO62" s="26">
        <v>40575</v>
      </c>
      <c r="AP62" s="8">
        <v>0</v>
      </c>
      <c r="AQ62" s="56" t="e">
        <f>IF(AN62&lt;'DADOS DOS EMPREENDIMENTOS'!AP$11,0,IF(AN62='DADOS DOS EMPREENDIMENTOS'!AP$11,SUM(AP$41:AP62)*(1-'DADOS DOS EMPREENDIMENTOS'!#REF!-'DADOS DOS EMPREENDIMENTOS'!#REF!)+'DADOS DOS EMPREENDIMENTOS'!#REF!,IF(AN62='DADOS DOS EMPREENDIMENTOS'!#REF!,'DADOS DOS EMPREENDIMENTOS'!#REF!,AP62*(1-'DADOS DOS EMPREENDIMENTOS'!#REF!-'DADOS DOS EMPREENDIMENTOS'!#REF!))))</f>
        <v>#REF!</v>
      </c>
      <c r="AS62" s="45">
        <v>21</v>
      </c>
      <c r="AT62" s="26">
        <v>40575</v>
      </c>
      <c r="AU62" s="8">
        <v>0</v>
      </c>
      <c r="AV62" s="56" t="e">
        <f>IF(AS62&lt;'DADOS DOS EMPREENDIMENTOS'!AU$11,0,IF(AS62='DADOS DOS EMPREENDIMENTOS'!AU$11,SUM(AU$41:AU62)*(1-'DADOS DOS EMPREENDIMENTOS'!#REF!-'DADOS DOS EMPREENDIMENTOS'!#REF!)+'DADOS DOS EMPREENDIMENTOS'!#REF!,IF(AS62='DADOS DOS EMPREENDIMENTOS'!#REF!,'DADOS DOS EMPREENDIMENTOS'!#REF!,AU62*(1-'DADOS DOS EMPREENDIMENTOS'!#REF!-'DADOS DOS EMPREENDIMENTOS'!#REF!))))</f>
        <v>#REF!</v>
      </c>
      <c r="AX62" s="45">
        <v>21</v>
      </c>
      <c r="AY62" s="26">
        <v>40575</v>
      </c>
      <c r="AZ62" s="8">
        <v>0</v>
      </c>
      <c r="BA62" s="56" t="e">
        <f>IF(AX62&lt;'DADOS DOS EMPREENDIMENTOS'!AZ$11,0,IF(AX62='DADOS DOS EMPREENDIMENTOS'!AZ$11,SUM(AZ$41:AZ62)*(1-'DADOS DOS EMPREENDIMENTOS'!#REF!-'DADOS DOS EMPREENDIMENTOS'!#REF!)+'DADOS DOS EMPREENDIMENTOS'!#REF!,IF(AX62='DADOS DOS EMPREENDIMENTOS'!#REF!,'DADOS DOS EMPREENDIMENTOS'!#REF!,AZ62*(1-'DADOS DOS EMPREENDIMENTOS'!#REF!-'DADOS DOS EMPREENDIMENTOS'!#REF!))))</f>
        <v>#REF!</v>
      </c>
      <c r="BC62" s="45">
        <v>21</v>
      </c>
      <c r="BD62" s="26">
        <v>40575</v>
      </c>
      <c r="BE62" s="8">
        <v>0</v>
      </c>
      <c r="BF62" s="56" t="e">
        <f>IF(BC62&lt;'DADOS DOS EMPREENDIMENTOS'!BE$11,0,IF(BC62='DADOS DOS EMPREENDIMENTOS'!BE$11,SUM(BE$41:BE62)*(1-'DADOS DOS EMPREENDIMENTOS'!#REF!-'DADOS DOS EMPREENDIMENTOS'!#REF!)+'DADOS DOS EMPREENDIMENTOS'!#REF!,IF(BC62='DADOS DOS EMPREENDIMENTOS'!#REF!,'DADOS DOS EMPREENDIMENTOS'!#REF!,BE62*(1-'DADOS DOS EMPREENDIMENTOS'!#REF!-'DADOS DOS EMPREENDIMENTOS'!#REF!))))</f>
        <v>#REF!</v>
      </c>
      <c r="BH62" s="45">
        <v>21</v>
      </c>
      <c r="BI62" s="26">
        <v>40575</v>
      </c>
      <c r="BJ62" s="8">
        <v>0</v>
      </c>
      <c r="BK62" s="56" t="e">
        <f>IF(BH62&lt;'DADOS DOS EMPREENDIMENTOS'!BJ$11,0,IF(BH62='DADOS DOS EMPREENDIMENTOS'!BJ$11,SUM(BJ$41:BJ62)*(1-'DADOS DOS EMPREENDIMENTOS'!#REF!-'DADOS DOS EMPREENDIMENTOS'!#REF!)+'DADOS DOS EMPREENDIMENTOS'!#REF!,IF(BH62='DADOS DOS EMPREENDIMENTOS'!#REF!,'DADOS DOS EMPREENDIMENTOS'!#REF!,BJ62*(1-'DADOS DOS EMPREENDIMENTOS'!#REF!-'DADOS DOS EMPREENDIMENTOS'!#REF!))))</f>
        <v>#REF!</v>
      </c>
      <c r="BM62" s="45">
        <v>21</v>
      </c>
      <c r="BN62" s="26">
        <v>40575</v>
      </c>
      <c r="BO62" s="8">
        <v>0</v>
      </c>
      <c r="BP62" s="56" t="e">
        <f>IF(BM62&lt;'DADOS DOS EMPREENDIMENTOS'!BO$11,0,IF(BM62='DADOS DOS EMPREENDIMENTOS'!BO$11,SUM(BO$41:BO62)*(1-'DADOS DOS EMPREENDIMENTOS'!#REF!-'DADOS DOS EMPREENDIMENTOS'!#REF!)+'DADOS DOS EMPREENDIMENTOS'!#REF!,IF(BM62='DADOS DOS EMPREENDIMENTOS'!BO$12,'DADOS DOS EMPREENDIMENTOS'!#REF!,BO62*(1-'DADOS DOS EMPREENDIMENTOS'!#REF!-'DADOS DOS EMPREENDIMENTOS'!#REF!))))</f>
        <v>#REF!</v>
      </c>
      <c r="BR62" s="45">
        <v>21</v>
      </c>
      <c r="BS62" s="26">
        <v>40575</v>
      </c>
      <c r="BT62" s="8">
        <v>0</v>
      </c>
      <c r="BU62" s="56" t="e">
        <f>IF(BR62&lt;'DADOS DOS EMPREENDIMENTOS'!BT$11,0,IF(BR62='DADOS DOS EMPREENDIMENTOS'!BT$11,SUM(BT$41:BT62)*(1-'DADOS DOS EMPREENDIMENTOS'!#REF!-'DADOS DOS EMPREENDIMENTOS'!#REF!)+'DADOS DOS EMPREENDIMENTOS'!#REF!,IF(BR62='DADOS DOS EMPREENDIMENTOS'!BT$12,'DADOS DOS EMPREENDIMENTOS'!#REF!,BT62*(1-'DADOS DOS EMPREENDIMENTOS'!#REF!-'DADOS DOS EMPREENDIMENTOS'!#REF!))))</f>
        <v>#REF!</v>
      </c>
      <c r="BW62" s="45">
        <v>21</v>
      </c>
      <c r="BX62" s="26">
        <v>40575</v>
      </c>
      <c r="BY62" s="8">
        <v>0</v>
      </c>
      <c r="BZ62" s="56" t="e">
        <f>IF(BW62&lt;'DADOS DOS EMPREENDIMENTOS'!BY$11,0,IF(BW62='DADOS DOS EMPREENDIMENTOS'!BY$11,SUM(BY$41:BY62)*(1-'DADOS DOS EMPREENDIMENTOS'!#REF!-'DADOS DOS EMPREENDIMENTOS'!#REF!)+'DADOS DOS EMPREENDIMENTOS'!#REF!,IF(BW62='DADOS DOS EMPREENDIMENTOS'!BY$12,'DADOS DOS EMPREENDIMENTOS'!#REF!,BY62*(1-'DADOS DOS EMPREENDIMENTOS'!#REF!-'DADOS DOS EMPREENDIMENTOS'!#REF!))))</f>
        <v>#REF!</v>
      </c>
      <c r="CB62" s="45">
        <v>21</v>
      </c>
      <c r="CC62" s="26">
        <v>40575</v>
      </c>
      <c r="CD62" s="8">
        <v>0</v>
      </c>
      <c r="CE62" s="56" t="e">
        <f>IF(CB62&lt;'DADOS DOS EMPREENDIMENTOS'!CD$11,0,IF(CB62='DADOS DOS EMPREENDIMENTOS'!CD$11,SUM(CD$41:CD62)*(1-'DADOS DOS EMPREENDIMENTOS'!#REF!-'DADOS DOS EMPREENDIMENTOS'!#REF!)+'DADOS DOS EMPREENDIMENTOS'!#REF!,IF(CB62='DADOS DOS EMPREENDIMENTOS'!CD$12,'DADOS DOS EMPREENDIMENTOS'!#REF!,CD62*(1-'DADOS DOS EMPREENDIMENTOS'!#REF!-'DADOS DOS EMPREENDIMENTOS'!#REF!))))</f>
        <v>#REF!</v>
      </c>
      <c r="CG62" s="45"/>
      <c r="CH62" s="26"/>
      <c r="CI62" s="8"/>
      <c r="CJ62" s="56"/>
    </row>
    <row r="63" spans="15:88" ht="12.75" customHeight="1" thickBot="1" x14ac:dyDescent="0.25">
      <c r="O63" s="38">
        <v>48</v>
      </c>
      <c r="P63" s="341" t="s">
        <v>269</v>
      </c>
      <c r="Q63" s="344">
        <f>VLOOKUP(P63,Apoio!C:E,2,0)</f>
        <v>242846.7</v>
      </c>
      <c r="R63" s="343">
        <v>220000</v>
      </c>
      <c r="S63" s="206">
        <v>5</v>
      </c>
      <c r="T63" s="45">
        <v>22</v>
      </c>
      <c r="U63" s="26"/>
      <c r="V63" s="8"/>
      <c r="W63" s="56"/>
      <c r="Y63" s="45">
        <v>22</v>
      </c>
      <c r="Z63" s="26"/>
      <c r="AA63" s="8"/>
      <c r="AB63" s="56"/>
      <c r="AD63" s="45">
        <v>22</v>
      </c>
      <c r="AE63" s="26">
        <v>40603</v>
      </c>
      <c r="AF63" s="8">
        <v>0</v>
      </c>
      <c r="AG63" s="56" t="e">
        <f>IF(AD63&lt;'DADOS DOS EMPREENDIMENTOS'!AF$11,0,IF(AD63='DADOS DOS EMPREENDIMENTOS'!AF$11,SUM(AF$41:AF63)*(1-'DADOS DOS EMPREENDIMENTOS'!#REF!-'DADOS DOS EMPREENDIMENTOS'!#REF!)+'DADOS DOS EMPREENDIMENTOS'!#REF!,IF(AD63='DADOS DOS EMPREENDIMENTOS'!#REF!,'DADOS DOS EMPREENDIMENTOS'!#REF!,AF63*(1-'DADOS DOS EMPREENDIMENTOS'!#REF!-'DADOS DOS EMPREENDIMENTOS'!#REF!))))</f>
        <v>#REF!</v>
      </c>
      <c r="AI63" s="45">
        <v>22</v>
      </c>
      <c r="AJ63" s="26">
        <v>40603</v>
      </c>
      <c r="AK63" s="8">
        <v>0</v>
      </c>
      <c r="AL63" s="56" t="e">
        <f>IF(AI63&lt;'DADOS DOS EMPREENDIMENTOS'!AK$11,0,IF(AI63='DADOS DOS EMPREENDIMENTOS'!AK$11,SUM(AK$41:AK63)*(1-'DADOS DOS EMPREENDIMENTOS'!#REF!-'DADOS DOS EMPREENDIMENTOS'!#REF!)+'DADOS DOS EMPREENDIMENTOS'!#REF!,IF(AI63='DADOS DOS EMPREENDIMENTOS'!#REF!,'DADOS DOS EMPREENDIMENTOS'!#REF!,AK63*(1-'DADOS DOS EMPREENDIMENTOS'!#REF!-'DADOS DOS EMPREENDIMENTOS'!#REF!))))</f>
        <v>#REF!</v>
      </c>
      <c r="AN63" s="45">
        <v>22</v>
      </c>
      <c r="AO63" s="26">
        <v>40603</v>
      </c>
      <c r="AP63" s="8">
        <v>0</v>
      </c>
      <c r="AQ63" s="56" t="e">
        <f>IF(AN63&lt;'DADOS DOS EMPREENDIMENTOS'!AP$11,0,IF(AN63='DADOS DOS EMPREENDIMENTOS'!AP$11,SUM(AP$41:AP63)*(1-'DADOS DOS EMPREENDIMENTOS'!#REF!-'DADOS DOS EMPREENDIMENTOS'!#REF!)+'DADOS DOS EMPREENDIMENTOS'!#REF!,IF(AN63='DADOS DOS EMPREENDIMENTOS'!#REF!,'DADOS DOS EMPREENDIMENTOS'!#REF!,AP63*(1-'DADOS DOS EMPREENDIMENTOS'!#REF!-'DADOS DOS EMPREENDIMENTOS'!#REF!))))</f>
        <v>#REF!</v>
      </c>
      <c r="AS63" s="45">
        <v>22</v>
      </c>
      <c r="AT63" s="26">
        <v>40603</v>
      </c>
      <c r="AU63" s="8">
        <v>0</v>
      </c>
      <c r="AV63" s="56" t="e">
        <f>IF(AS63&lt;'DADOS DOS EMPREENDIMENTOS'!AU$11,0,IF(AS63='DADOS DOS EMPREENDIMENTOS'!AU$11,SUM(AU$41:AU63)*(1-'DADOS DOS EMPREENDIMENTOS'!#REF!-'DADOS DOS EMPREENDIMENTOS'!#REF!)+'DADOS DOS EMPREENDIMENTOS'!#REF!,IF(AS63='DADOS DOS EMPREENDIMENTOS'!#REF!,'DADOS DOS EMPREENDIMENTOS'!#REF!,AU63*(1-'DADOS DOS EMPREENDIMENTOS'!#REF!-'DADOS DOS EMPREENDIMENTOS'!#REF!))))</f>
        <v>#REF!</v>
      </c>
      <c r="AX63" s="45">
        <v>22</v>
      </c>
      <c r="AY63" s="26">
        <v>40603</v>
      </c>
      <c r="AZ63" s="8">
        <v>0</v>
      </c>
      <c r="BA63" s="56" t="e">
        <f>IF(AX63&lt;'DADOS DOS EMPREENDIMENTOS'!AZ$11,0,IF(AX63='DADOS DOS EMPREENDIMENTOS'!AZ$11,SUM(AZ$41:AZ63)*(1-'DADOS DOS EMPREENDIMENTOS'!#REF!-'DADOS DOS EMPREENDIMENTOS'!#REF!)+'DADOS DOS EMPREENDIMENTOS'!#REF!,IF(AX63='DADOS DOS EMPREENDIMENTOS'!#REF!,'DADOS DOS EMPREENDIMENTOS'!#REF!,AZ63*(1-'DADOS DOS EMPREENDIMENTOS'!#REF!-'DADOS DOS EMPREENDIMENTOS'!#REF!))))</f>
        <v>#REF!</v>
      </c>
      <c r="BC63" s="45">
        <v>22</v>
      </c>
      <c r="BD63" s="26">
        <v>40603</v>
      </c>
      <c r="BE63" s="8">
        <v>0</v>
      </c>
      <c r="BF63" s="56" t="e">
        <f>IF(BC63&lt;'DADOS DOS EMPREENDIMENTOS'!BE$11,0,IF(BC63='DADOS DOS EMPREENDIMENTOS'!BE$11,SUM(BE$41:BE63)*(1-'DADOS DOS EMPREENDIMENTOS'!#REF!-'DADOS DOS EMPREENDIMENTOS'!#REF!)+'DADOS DOS EMPREENDIMENTOS'!#REF!,IF(BC63='DADOS DOS EMPREENDIMENTOS'!#REF!,'DADOS DOS EMPREENDIMENTOS'!#REF!,BE63*(1-'DADOS DOS EMPREENDIMENTOS'!#REF!-'DADOS DOS EMPREENDIMENTOS'!#REF!))))</f>
        <v>#REF!</v>
      </c>
      <c r="BH63" s="45">
        <v>22</v>
      </c>
      <c r="BI63" s="26">
        <v>40603</v>
      </c>
      <c r="BJ63" s="8">
        <v>0</v>
      </c>
      <c r="BK63" s="56" t="e">
        <f>IF(BH63&lt;'DADOS DOS EMPREENDIMENTOS'!BJ$11,0,IF(BH63='DADOS DOS EMPREENDIMENTOS'!BJ$11,SUM(BJ$41:BJ63)*(1-'DADOS DOS EMPREENDIMENTOS'!#REF!-'DADOS DOS EMPREENDIMENTOS'!#REF!)+'DADOS DOS EMPREENDIMENTOS'!#REF!,IF(BH63='DADOS DOS EMPREENDIMENTOS'!#REF!,'DADOS DOS EMPREENDIMENTOS'!#REF!,BJ63*(1-'DADOS DOS EMPREENDIMENTOS'!#REF!-'DADOS DOS EMPREENDIMENTOS'!#REF!))))</f>
        <v>#REF!</v>
      </c>
      <c r="BM63" s="45">
        <v>22</v>
      </c>
      <c r="BN63" s="26">
        <v>40603</v>
      </c>
      <c r="BO63" s="8">
        <v>0</v>
      </c>
      <c r="BP63" s="56" t="e">
        <f>IF(BM63&lt;'DADOS DOS EMPREENDIMENTOS'!BO$11,0,IF(BM63='DADOS DOS EMPREENDIMENTOS'!BO$11,SUM(BO$41:BO63)*(1-'DADOS DOS EMPREENDIMENTOS'!#REF!-'DADOS DOS EMPREENDIMENTOS'!#REF!)+'DADOS DOS EMPREENDIMENTOS'!#REF!,IF(BM63='DADOS DOS EMPREENDIMENTOS'!BO$12,'DADOS DOS EMPREENDIMENTOS'!#REF!,BO63*(1-'DADOS DOS EMPREENDIMENTOS'!#REF!-'DADOS DOS EMPREENDIMENTOS'!#REF!))))</f>
        <v>#REF!</v>
      </c>
      <c r="BR63" s="45">
        <v>22</v>
      </c>
      <c r="BS63" s="26">
        <v>40603</v>
      </c>
      <c r="BT63" s="8">
        <v>0</v>
      </c>
      <c r="BU63" s="56" t="e">
        <f>IF(BR63&lt;'DADOS DOS EMPREENDIMENTOS'!BT$11,0,IF(BR63='DADOS DOS EMPREENDIMENTOS'!BT$11,SUM(BT$41:BT63)*(1-'DADOS DOS EMPREENDIMENTOS'!#REF!-'DADOS DOS EMPREENDIMENTOS'!#REF!)+'DADOS DOS EMPREENDIMENTOS'!#REF!,IF(BR63='DADOS DOS EMPREENDIMENTOS'!BT$12,'DADOS DOS EMPREENDIMENTOS'!#REF!,BT63*(1-'DADOS DOS EMPREENDIMENTOS'!#REF!-'DADOS DOS EMPREENDIMENTOS'!#REF!))))</f>
        <v>#REF!</v>
      </c>
      <c r="BW63" s="45">
        <v>22</v>
      </c>
      <c r="BX63" s="26">
        <v>40603</v>
      </c>
      <c r="BY63" s="8">
        <v>0</v>
      </c>
      <c r="BZ63" s="56" t="e">
        <f>IF(BW63&lt;'DADOS DOS EMPREENDIMENTOS'!BY$11,0,IF(BW63='DADOS DOS EMPREENDIMENTOS'!BY$11,SUM(BY$41:BY63)*(1-'DADOS DOS EMPREENDIMENTOS'!#REF!-'DADOS DOS EMPREENDIMENTOS'!#REF!)+'DADOS DOS EMPREENDIMENTOS'!#REF!,IF(BW63='DADOS DOS EMPREENDIMENTOS'!BY$12,'DADOS DOS EMPREENDIMENTOS'!#REF!,BY63*(1-'DADOS DOS EMPREENDIMENTOS'!#REF!-'DADOS DOS EMPREENDIMENTOS'!#REF!))))</f>
        <v>#REF!</v>
      </c>
      <c r="CB63" s="45">
        <v>22</v>
      </c>
      <c r="CC63" s="26">
        <v>40603</v>
      </c>
      <c r="CD63" s="8">
        <v>0</v>
      </c>
      <c r="CE63" s="56" t="e">
        <f>IF(CB63&lt;'DADOS DOS EMPREENDIMENTOS'!CD$11,0,IF(CB63='DADOS DOS EMPREENDIMENTOS'!CD$11,SUM(CD$41:CD63)*(1-'DADOS DOS EMPREENDIMENTOS'!#REF!-'DADOS DOS EMPREENDIMENTOS'!#REF!)+'DADOS DOS EMPREENDIMENTOS'!#REF!,IF(CB63='DADOS DOS EMPREENDIMENTOS'!CD$12,'DADOS DOS EMPREENDIMENTOS'!#REF!,CD63*(1-'DADOS DOS EMPREENDIMENTOS'!#REF!-'DADOS DOS EMPREENDIMENTOS'!#REF!))))</f>
        <v>#REF!</v>
      </c>
      <c r="CG63" s="45"/>
      <c r="CH63" s="26"/>
      <c r="CI63" s="8"/>
      <c r="CJ63" s="56"/>
    </row>
    <row r="64" spans="15:88" ht="12.75" customHeight="1" thickBot="1" x14ac:dyDescent="0.25">
      <c r="O64" s="36">
        <v>49</v>
      </c>
      <c r="P64" s="341" t="s">
        <v>270</v>
      </c>
      <c r="Q64" s="344">
        <f>VLOOKUP(P64,Apoio!C:E,2,0)</f>
        <v>242859.4</v>
      </c>
      <c r="R64" s="343">
        <v>220000</v>
      </c>
      <c r="S64" s="206">
        <v>5</v>
      </c>
      <c r="T64" s="45">
        <v>23</v>
      </c>
      <c r="U64" s="26"/>
      <c r="V64" s="8"/>
      <c r="W64" s="56"/>
      <c r="Y64" s="45">
        <v>23</v>
      </c>
      <c r="Z64" s="26"/>
      <c r="AA64" s="8"/>
      <c r="AB64" s="56"/>
      <c r="AD64" s="45">
        <v>23</v>
      </c>
      <c r="AE64" s="26">
        <v>40634</v>
      </c>
      <c r="AF64" s="8">
        <v>0</v>
      </c>
      <c r="AG64" s="56" t="e">
        <f>IF(AD64&lt;'DADOS DOS EMPREENDIMENTOS'!AF$11,0,IF(AD64='DADOS DOS EMPREENDIMENTOS'!AF$11,SUM(AF$41:AF64)*(1-'DADOS DOS EMPREENDIMENTOS'!#REF!-'DADOS DOS EMPREENDIMENTOS'!#REF!)+'DADOS DOS EMPREENDIMENTOS'!#REF!,IF(AD64='DADOS DOS EMPREENDIMENTOS'!#REF!,'DADOS DOS EMPREENDIMENTOS'!#REF!,AF64*(1-'DADOS DOS EMPREENDIMENTOS'!#REF!-'DADOS DOS EMPREENDIMENTOS'!#REF!))))</f>
        <v>#REF!</v>
      </c>
      <c r="AI64" s="45">
        <v>23</v>
      </c>
      <c r="AJ64" s="26">
        <v>40634</v>
      </c>
      <c r="AK64" s="8">
        <v>0</v>
      </c>
      <c r="AL64" s="56" t="e">
        <f>IF(AI64&lt;'DADOS DOS EMPREENDIMENTOS'!AK$11,0,IF(AI64='DADOS DOS EMPREENDIMENTOS'!AK$11,SUM(AK$41:AK64)*(1-'DADOS DOS EMPREENDIMENTOS'!#REF!-'DADOS DOS EMPREENDIMENTOS'!#REF!)+'DADOS DOS EMPREENDIMENTOS'!#REF!,IF(AI64='DADOS DOS EMPREENDIMENTOS'!#REF!,'DADOS DOS EMPREENDIMENTOS'!#REF!,AK64*(1-'DADOS DOS EMPREENDIMENTOS'!#REF!-'DADOS DOS EMPREENDIMENTOS'!#REF!))))</f>
        <v>#REF!</v>
      </c>
      <c r="AN64" s="45">
        <v>23</v>
      </c>
      <c r="AO64" s="26">
        <v>40634</v>
      </c>
      <c r="AP64" s="8">
        <v>0</v>
      </c>
      <c r="AQ64" s="56" t="e">
        <f>IF(AN64&lt;'DADOS DOS EMPREENDIMENTOS'!AP$11,0,IF(AN64='DADOS DOS EMPREENDIMENTOS'!AP$11,SUM(AP$41:AP64)*(1-'DADOS DOS EMPREENDIMENTOS'!#REF!-'DADOS DOS EMPREENDIMENTOS'!#REF!)+'DADOS DOS EMPREENDIMENTOS'!#REF!,IF(AN64='DADOS DOS EMPREENDIMENTOS'!#REF!,'DADOS DOS EMPREENDIMENTOS'!#REF!,AP64*(1-'DADOS DOS EMPREENDIMENTOS'!#REF!-'DADOS DOS EMPREENDIMENTOS'!#REF!))))</f>
        <v>#REF!</v>
      </c>
      <c r="AS64" s="45">
        <v>23</v>
      </c>
      <c r="AT64" s="26">
        <v>40634</v>
      </c>
      <c r="AU64" s="8">
        <v>0</v>
      </c>
      <c r="AV64" s="56" t="e">
        <f>IF(AS64&lt;'DADOS DOS EMPREENDIMENTOS'!AU$11,0,IF(AS64='DADOS DOS EMPREENDIMENTOS'!AU$11,SUM(AU$41:AU64)*(1-'DADOS DOS EMPREENDIMENTOS'!#REF!-'DADOS DOS EMPREENDIMENTOS'!#REF!)+'DADOS DOS EMPREENDIMENTOS'!#REF!,IF(AS64='DADOS DOS EMPREENDIMENTOS'!#REF!,'DADOS DOS EMPREENDIMENTOS'!#REF!,AU64*(1-'DADOS DOS EMPREENDIMENTOS'!#REF!-'DADOS DOS EMPREENDIMENTOS'!#REF!))))</f>
        <v>#REF!</v>
      </c>
      <c r="AX64" s="45">
        <v>23</v>
      </c>
      <c r="AY64" s="26">
        <v>40634</v>
      </c>
      <c r="AZ64" s="8">
        <v>0</v>
      </c>
      <c r="BA64" s="56" t="e">
        <f>IF(AX64&lt;'DADOS DOS EMPREENDIMENTOS'!AZ$11,0,IF(AX64='DADOS DOS EMPREENDIMENTOS'!AZ$11,SUM(AZ$41:AZ64)*(1-'DADOS DOS EMPREENDIMENTOS'!#REF!-'DADOS DOS EMPREENDIMENTOS'!#REF!)+'DADOS DOS EMPREENDIMENTOS'!#REF!,IF(AX64='DADOS DOS EMPREENDIMENTOS'!#REF!,'DADOS DOS EMPREENDIMENTOS'!#REF!,AZ64*(1-'DADOS DOS EMPREENDIMENTOS'!#REF!-'DADOS DOS EMPREENDIMENTOS'!#REF!))))</f>
        <v>#REF!</v>
      </c>
      <c r="BC64" s="45">
        <v>23</v>
      </c>
      <c r="BD64" s="26">
        <v>40634</v>
      </c>
      <c r="BE64" s="8">
        <v>0</v>
      </c>
      <c r="BF64" s="56" t="e">
        <f>IF(BC64&lt;'DADOS DOS EMPREENDIMENTOS'!BE$11,0,IF(BC64='DADOS DOS EMPREENDIMENTOS'!BE$11,SUM(BE$41:BE64)*(1-'DADOS DOS EMPREENDIMENTOS'!#REF!-'DADOS DOS EMPREENDIMENTOS'!#REF!)+'DADOS DOS EMPREENDIMENTOS'!#REF!,IF(BC64='DADOS DOS EMPREENDIMENTOS'!#REF!,'DADOS DOS EMPREENDIMENTOS'!#REF!,BE64*(1-'DADOS DOS EMPREENDIMENTOS'!#REF!-'DADOS DOS EMPREENDIMENTOS'!#REF!))))</f>
        <v>#REF!</v>
      </c>
      <c r="BH64" s="45">
        <v>23</v>
      </c>
      <c r="BI64" s="26">
        <v>40634</v>
      </c>
      <c r="BJ64" s="8">
        <v>0</v>
      </c>
      <c r="BK64" s="56" t="e">
        <f>IF(BH64&lt;'DADOS DOS EMPREENDIMENTOS'!BJ$11,0,IF(BH64='DADOS DOS EMPREENDIMENTOS'!BJ$11,SUM(BJ$41:BJ64)*(1-'DADOS DOS EMPREENDIMENTOS'!#REF!-'DADOS DOS EMPREENDIMENTOS'!#REF!)+'DADOS DOS EMPREENDIMENTOS'!#REF!,IF(BH64='DADOS DOS EMPREENDIMENTOS'!#REF!,'DADOS DOS EMPREENDIMENTOS'!#REF!,BJ64*(1-'DADOS DOS EMPREENDIMENTOS'!#REF!-'DADOS DOS EMPREENDIMENTOS'!#REF!))))</f>
        <v>#REF!</v>
      </c>
      <c r="BM64" s="45">
        <v>23</v>
      </c>
      <c r="BN64" s="26">
        <v>40634</v>
      </c>
      <c r="BO64" s="8">
        <v>0</v>
      </c>
      <c r="BP64" s="56" t="e">
        <f>IF(BM64&lt;'DADOS DOS EMPREENDIMENTOS'!BO$11,0,IF(BM64='DADOS DOS EMPREENDIMENTOS'!BO$11,SUM(BO$41:BO64)*(1-'DADOS DOS EMPREENDIMENTOS'!#REF!-'DADOS DOS EMPREENDIMENTOS'!#REF!)+'DADOS DOS EMPREENDIMENTOS'!#REF!,IF(BM64='DADOS DOS EMPREENDIMENTOS'!BO$12,'DADOS DOS EMPREENDIMENTOS'!#REF!,BO64*(1-'DADOS DOS EMPREENDIMENTOS'!#REF!-'DADOS DOS EMPREENDIMENTOS'!#REF!))))</f>
        <v>#REF!</v>
      </c>
      <c r="BR64" s="45">
        <v>23</v>
      </c>
      <c r="BS64" s="26">
        <v>40634</v>
      </c>
      <c r="BT64" s="8">
        <v>0</v>
      </c>
      <c r="BU64" s="56" t="e">
        <f>IF(BR64&lt;'DADOS DOS EMPREENDIMENTOS'!BT$11,0,IF(BR64='DADOS DOS EMPREENDIMENTOS'!BT$11,SUM(BT$41:BT64)*(1-'DADOS DOS EMPREENDIMENTOS'!#REF!-'DADOS DOS EMPREENDIMENTOS'!#REF!)+'DADOS DOS EMPREENDIMENTOS'!#REF!,IF(BR64='DADOS DOS EMPREENDIMENTOS'!BT$12,'DADOS DOS EMPREENDIMENTOS'!#REF!,BT64*(1-'DADOS DOS EMPREENDIMENTOS'!#REF!-'DADOS DOS EMPREENDIMENTOS'!#REF!))))</f>
        <v>#REF!</v>
      </c>
      <c r="BW64" s="45">
        <v>23</v>
      </c>
      <c r="BX64" s="26">
        <v>40634</v>
      </c>
      <c r="BY64" s="8">
        <v>0</v>
      </c>
      <c r="BZ64" s="56" t="e">
        <f>IF(BW64&lt;'DADOS DOS EMPREENDIMENTOS'!BY$11,0,IF(BW64='DADOS DOS EMPREENDIMENTOS'!BY$11,SUM(BY$41:BY64)*(1-'DADOS DOS EMPREENDIMENTOS'!#REF!-'DADOS DOS EMPREENDIMENTOS'!#REF!)+'DADOS DOS EMPREENDIMENTOS'!#REF!,IF(BW64='DADOS DOS EMPREENDIMENTOS'!BY$12,'DADOS DOS EMPREENDIMENTOS'!#REF!,BY64*(1-'DADOS DOS EMPREENDIMENTOS'!#REF!-'DADOS DOS EMPREENDIMENTOS'!#REF!))))</f>
        <v>#REF!</v>
      </c>
      <c r="CB64" s="45">
        <v>23</v>
      </c>
      <c r="CC64" s="26">
        <v>40634</v>
      </c>
      <c r="CD64" s="8">
        <v>0</v>
      </c>
      <c r="CE64" s="56" t="e">
        <f>IF(CB64&lt;'DADOS DOS EMPREENDIMENTOS'!CD$11,0,IF(CB64='DADOS DOS EMPREENDIMENTOS'!CD$11,SUM(CD$41:CD64)*(1-'DADOS DOS EMPREENDIMENTOS'!#REF!-'DADOS DOS EMPREENDIMENTOS'!#REF!)+'DADOS DOS EMPREENDIMENTOS'!#REF!,IF(CB64='DADOS DOS EMPREENDIMENTOS'!CD$12,'DADOS DOS EMPREENDIMENTOS'!#REF!,CD64*(1-'DADOS DOS EMPREENDIMENTOS'!#REF!-'DADOS DOS EMPREENDIMENTOS'!#REF!))))</f>
        <v>#REF!</v>
      </c>
      <c r="CG64" s="45"/>
      <c r="CH64" s="26"/>
      <c r="CI64" s="8"/>
      <c r="CJ64" s="56"/>
    </row>
    <row r="65" spans="15:88" ht="12.75" customHeight="1" thickBot="1" x14ac:dyDescent="0.25">
      <c r="O65" s="38">
        <v>50</v>
      </c>
      <c r="P65" s="341" t="s">
        <v>271</v>
      </c>
      <c r="Q65" s="344">
        <f>VLOOKUP(P65,Apoio!C:E,2,0)</f>
        <v>242859.4</v>
      </c>
      <c r="R65" s="343">
        <v>223000</v>
      </c>
      <c r="S65" s="206">
        <v>5</v>
      </c>
      <c r="T65" s="45">
        <v>24</v>
      </c>
      <c r="U65" s="26"/>
      <c r="V65" s="8"/>
      <c r="W65" s="56"/>
      <c r="Y65" s="45">
        <v>24</v>
      </c>
      <c r="Z65" s="26"/>
      <c r="AA65" s="8"/>
      <c r="AB65" s="56"/>
      <c r="AD65" s="45">
        <v>24</v>
      </c>
      <c r="AE65" s="26">
        <v>40664</v>
      </c>
      <c r="AF65" s="8">
        <v>0</v>
      </c>
      <c r="AG65" s="56" t="e">
        <f>IF(AD65&lt;'DADOS DOS EMPREENDIMENTOS'!AF$11,0,IF(AD65='DADOS DOS EMPREENDIMENTOS'!AF$11,SUM(AF$41:AF65)*(1-'DADOS DOS EMPREENDIMENTOS'!#REF!-'DADOS DOS EMPREENDIMENTOS'!#REF!)+'DADOS DOS EMPREENDIMENTOS'!#REF!,IF(AD65='DADOS DOS EMPREENDIMENTOS'!#REF!,'DADOS DOS EMPREENDIMENTOS'!#REF!,AF65*(1-'DADOS DOS EMPREENDIMENTOS'!#REF!-'DADOS DOS EMPREENDIMENTOS'!#REF!))))</f>
        <v>#REF!</v>
      </c>
      <c r="AI65" s="45">
        <v>24</v>
      </c>
      <c r="AJ65" s="26">
        <v>40664</v>
      </c>
      <c r="AK65" s="8">
        <v>0</v>
      </c>
      <c r="AL65" s="56" t="e">
        <f>IF(AI65&lt;'DADOS DOS EMPREENDIMENTOS'!AK$11,0,IF(AI65='DADOS DOS EMPREENDIMENTOS'!AK$11,SUM(AK$41:AK65)*(1-'DADOS DOS EMPREENDIMENTOS'!#REF!-'DADOS DOS EMPREENDIMENTOS'!#REF!)+'DADOS DOS EMPREENDIMENTOS'!#REF!,IF(AI65='DADOS DOS EMPREENDIMENTOS'!#REF!,'DADOS DOS EMPREENDIMENTOS'!#REF!,AK65*(1-'DADOS DOS EMPREENDIMENTOS'!#REF!-'DADOS DOS EMPREENDIMENTOS'!#REF!))))</f>
        <v>#REF!</v>
      </c>
      <c r="AN65" s="45">
        <v>24</v>
      </c>
      <c r="AO65" s="26">
        <v>40664</v>
      </c>
      <c r="AP65" s="8">
        <v>0</v>
      </c>
      <c r="AQ65" s="56" t="e">
        <f>IF(AN65&lt;'DADOS DOS EMPREENDIMENTOS'!AP$11,0,IF(AN65='DADOS DOS EMPREENDIMENTOS'!AP$11,SUM(AP$41:AP65)*(1-'DADOS DOS EMPREENDIMENTOS'!#REF!-'DADOS DOS EMPREENDIMENTOS'!#REF!)+'DADOS DOS EMPREENDIMENTOS'!#REF!,IF(AN65='DADOS DOS EMPREENDIMENTOS'!#REF!,'DADOS DOS EMPREENDIMENTOS'!#REF!,AP65*(1-'DADOS DOS EMPREENDIMENTOS'!#REF!-'DADOS DOS EMPREENDIMENTOS'!#REF!))))</f>
        <v>#REF!</v>
      </c>
      <c r="AS65" s="45">
        <v>24</v>
      </c>
      <c r="AT65" s="26">
        <v>40664</v>
      </c>
      <c r="AU65" s="8">
        <v>0</v>
      </c>
      <c r="AV65" s="56" t="e">
        <f>IF(AS65&lt;'DADOS DOS EMPREENDIMENTOS'!AU$11,0,IF(AS65='DADOS DOS EMPREENDIMENTOS'!AU$11,SUM(AU$41:AU65)*(1-'DADOS DOS EMPREENDIMENTOS'!#REF!-'DADOS DOS EMPREENDIMENTOS'!#REF!)+'DADOS DOS EMPREENDIMENTOS'!#REF!,IF(AS65='DADOS DOS EMPREENDIMENTOS'!#REF!,'DADOS DOS EMPREENDIMENTOS'!#REF!,AU65*(1-'DADOS DOS EMPREENDIMENTOS'!#REF!-'DADOS DOS EMPREENDIMENTOS'!#REF!))))</f>
        <v>#REF!</v>
      </c>
      <c r="AX65" s="45">
        <v>24</v>
      </c>
      <c r="AY65" s="26">
        <v>40664</v>
      </c>
      <c r="AZ65" s="8">
        <v>0</v>
      </c>
      <c r="BA65" s="56" t="e">
        <f>IF(AX65&lt;'DADOS DOS EMPREENDIMENTOS'!AZ$11,0,IF(AX65='DADOS DOS EMPREENDIMENTOS'!AZ$11,SUM(AZ$41:AZ65)*(1-'DADOS DOS EMPREENDIMENTOS'!#REF!-'DADOS DOS EMPREENDIMENTOS'!#REF!)+'DADOS DOS EMPREENDIMENTOS'!#REF!,IF(AX65='DADOS DOS EMPREENDIMENTOS'!#REF!,'DADOS DOS EMPREENDIMENTOS'!#REF!,AZ65*(1-'DADOS DOS EMPREENDIMENTOS'!#REF!-'DADOS DOS EMPREENDIMENTOS'!#REF!))))</f>
        <v>#REF!</v>
      </c>
      <c r="BC65" s="45">
        <v>24</v>
      </c>
      <c r="BD65" s="26">
        <v>40664</v>
      </c>
      <c r="BE65" s="8">
        <v>0</v>
      </c>
      <c r="BF65" s="56" t="e">
        <f>IF(BC65&lt;'DADOS DOS EMPREENDIMENTOS'!BE$11,0,IF(BC65='DADOS DOS EMPREENDIMENTOS'!BE$11,SUM(BE$41:BE65)*(1-'DADOS DOS EMPREENDIMENTOS'!#REF!-'DADOS DOS EMPREENDIMENTOS'!#REF!)+'DADOS DOS EMPREENDIMENTOS'!#REF!,IF(BC65='DADOS DOS EMPREENDIMENTOS'!#REF!,'DADOS DOS EMPREENDIMENTOS'!#REF!,BE65*(1-'DADOS DOS EMPREENDIMENTOS'!#REF!-'DADOS DOS EMPREENDIMENTOS'!#REF!))))</f>
        <v>#REF!</v>
      </c>
      <c r="BH65" s="45">
        <v>24</v>
      </c>
      <c r="BI65" s="26">
        <v>40664</v>
      </c>
      <c r="BJ65" s="8">
        <v>0</v>
      </c>
      <c r="BK65" s="56" t="e">
        <f>IF(BH65&lt;'DADOS DOS EMPREENDIMENTOS'!BJ$11,0,IF(BH65='DADOS DOS EMPREENDIMENTOS'!BJ$11,SUM(BJ$41:BJ65)*(1-'DADOS DOS EMPREENDIMENTOS'!#REF!-'DADOS DOS EMPREENDIMENTOS'!#REF!)+'DADOS DOS EMPREENDIMENTOS'!#REF!,IF(BH65='DADOS DOS EMPREENDIMENTOS'!#REF!,'DADOS DOS EMPREENDIMENTOS'!#REF!,BJ65*(1-'DADOS DOS EMPREENDIMENTOS'!#REF!-'DADOS DOS EMPREENDIMENTOS'!#REF!))))</f>
        <v>#REF!</v>
      </c>
      <c r="BM65" s="45">
        <v>24</v>
      </c>
      <c r="BN65" s="26">
        <v>40664</v>
      </c>
      <c r="BO65" s="8">
        <v>0</v>
      </c>
      <c r="BP65" s="56" t="e">
        <f>IF(BM65&lt;'DADOS DOS EMPREENDIMENTOS'!BO$11,0,IF(BM65='DADOS DOS EMPREENDIMENTOS'!BO$11,SUM(BO$41:BO65)*(1-'DADOS DOS EMPREENDIMENTOS'!#REF!-'DADOS DOS EMPREENDIMENTOS'!#REF!)+'DADOS DOS EMPREENDIMENTOS'!#REF!,IF(BM65='DADOS DOS EMPREENDIMENTOS'!BO$12,'DADOS DOS EMPREENDIMENTOS'!#REF!,BO65*(1-'DADOS DOS EMPREENDIMENTOS'!#REF!-'DADOS DOS EMPREENDIMENTOS'!#REF!))))</f>
        <v>#REF!</v>
      </c>
      <c r="BR65" s="45">
        <v>24</v>
      </c>
      <c r="BS65" s="26">
        <v>40664</v>
      </c>
      <c r="BT65" s="8">
        <v>0</v>
      </c>
      <c r="BU65" s="56" t="e">
        <f>IF(BR65&lt;'DADOS DOS EMPREENDIMENTOS'!BT$11,0,IF(BR65='DADOS DOS EMPREENDIMENTOS'!BT$11,SUM(BT$41:BT65)*(1-'DADOS DOS EMPREENDIMENTOS'!#REF!-'DADOS DOS EMPREENDIMENTOS'!#REF!)+'DADOS DOS EMPREENDIMENTOS'!#REF!,IF(BR65='DADOS DOS EMPREENDIMENTOS'!BT$12,'DADOS DOS EMPREENDIMENTOS'!#REF!,BT65*(1-'DADOS DOS EMPREENDIMENTOS'!#REF!-'DADOS DOS EMPREENDIMENTOS'!#REF!))))</f>
        <v>#REF!</v>
      </c>
      <c r="BW65" s="45">
        <v>24</v>
      </c>
      <c r="BX65" s="26">
        <v>40664</v>
      </c>
      <c r="BY65" s="8">
        <v>0</v>
      </c>
      <c r="BZ65" s="56" t="e">
        <f>IF(BW65&lt;'DADOS DOS EMPREENDIMENTOS'!BY$11,0,IF(BW65='DADOS DOS EMPREENDIMENTOS'!BY$11,SUM(BY$41:BY65)*(1-'DADOS DOS EMPREENDIMENTOS'!#REF!-'DADOS DOS EMPREENDIMENTOS'!#REF!)+'DADOS DOS EMPREENDIMENTOS'!#REF!,IF(BW65='DADOS DOS EMPREENDIMENTOS'!BY$12,'DADOS DOS EMPREENDIMENTOS'!#REF!,BY65*(1-'DADOS DOS EMPREENDIMENTOS'!#REF!-'DADOS DOS EMPREENDIMENTOS'!#REF!))))</f>
        <v>#REF!</v>
      </c>
      <c r="CB65" s="45">
        <v>24</v>
      </c>
      <c r="CC65" s="26">
        <v>40664</v>
      </c>
      <c r="CD65" s="8">
        <v>0</v>
      </c>
      <c r="CE65" s="56" t="e">
        <f>IF(CB65&lt;'DADOS DOS EMPREENDIMENTOS'!CD$11,0,IF(CB65='DADOS DOS EMPREENDIMENTOS'!CD$11,SUM(CD$41:CD65)*(1-'DADOS DOS EMPREENDIMENTOS'!#REF!-'DADOS DOS EMPREENDIMENTOS'!#REF!)+'DADOS DOS EMPREENDIMENTOS'!#REF!,IF(CB65='DADOS DOS EMPREENDIMENTOS'!CD$12,'DADOS DOS EMPREENDIMENTOS'!#REF!,CD65*(1-'DADOS DOS EMPREENDIMENTOS'!#REF!-'DADOS DOS EMPREENDIMENTOS'!#REF!))))</f>
        <v>#REF!</v>
      </c>
      <c r="CG65" s="45"/>
      <c r="CH65" s="26"/>
      <c r="CI65" s="8"/>
      <c r="CJ65" s="56"/>
    </row>
    <row r="66" spans="15:88" ht="12.75" customHeight="1" thickBot="1" x14ac:dyDescent="0.25">
      <c r="O66" s="36">
        <v>51</v>
      </c>
      <c r="P66" s="341" t="s">
        <v>272</v>
      </c>
      <c r="Q66" s="344">
        <f>VLOOKUP(P66,Apoio!C:E,2,0)</f>
        <v>240430.3</v>
      </c>
      <c r="R66" s="343">
        <v>226000</v>
      </c>
      <c r="S66" s="206">
        <v>5</v>
      </c>
      <c r="T66" s="45">
        <v>25</v>
      </c>
      <c r="U66" s="26"/>
      <c r="V66" s="8"/>
      <c r="W66" s="56"/>
      <c r="Y66" s="45">
        <v>25</v>
      </c>
      <c r="Z66" s="26"/>
      <c r="AA66" s="8"/>
      <c r="AB66" s="56"/>
      <c r="AD66" s="45">
        <v>25</v>
      </c>
      <c r="AE66" s="26">
        <v>40695</v>
      </c>
      <c r="AF66" s="8">
        <v>0</v>
      </c>
      <c r="AG66" s="56" t="e">
        <f>IF(AD66&lt;'DADOS DOS EMPREENDIMENTOS'!AF$11,0,IF(AD66='DADOS DOS EMPREENDIMENTOS'!AF$11,SUM(AF$41:AF66)*(1-'DADOS DOS EMPREENDIMENTOS'!#REF!-'DADOS DOS EMPREENDIMENTOS'!#REF!)+'DADOS DOS EMPREENDIMENTOS'!#REF!,IF(AD66='DADOS DOS EMPREENDIMENTOS'!#REF!,'DADOS DOS EMPREENDIMENTOS'!#REF!,AF66*(1-'DADOS DOS EMPREENDIMENTOS'!#REF!-'DADOS DOS EMPREENDIMENTOS'!#REF!))))</f>
        <v>#REF!</v>
      </c>
      <c r="AI66" s="45">
        <v>25</v>
      </c>
      <c r="AJ66" s="26">
        <v>40695</v>
      </c>
      <c r="AK66" s="8">
        <v>0</v>
      </c>
      <c r="AL66" s="56" t="e">
        <f>IF(AI66&lt;'DADOS DOS EMPREENDIMENTOS'!AK$11,0,IF(AI66='DADOS DOS EMPREENDIMENTOS'!AK$11,SUM(AK$41:AK66)*(1-'DADOS DOS EMPREENDIMENTOS'!#REF!-'DADOS DOS EMPREENDIMENTOS'!#REF!)+'DADOS DOS EMPREENDIMENTOS'!#REF!,IF(AI66='DADOS DOS EMPREENDIMENTOS'!#REF!,'DADOS DOS EMPREENDIMENTOS'!#REF!,AK66*(1-'DADOS DOS EMPREENDIMENTOS'!#REF!-'DADOS DOS EMPREENDIMENTOS'!#REF!))))</f>
        <v>#REF!</v>
      </c>
      <c r="AN66" s="45">
        <v>25</v>
      </c>
      <c r="AO66" s="26">
        <v>40695</v>
      </c>
      <c r="AP66" s="8">
        <v>0</v>
      </c>
      <c r="AQ66" s="56" t="e">
        <f>IF(AN66&lt;'DADOS DOS EMPREENDIMENTOS'!AP$11,0,IF(AN66='DADOS DOS EMPREENDIMENTOS'!AP$11,SUM(AP$41:AP66)*(1-'DADOS DOS EMPREENDIMENTOS'!#REF!-'DADOS DOS EMPREENDIMENTOS'!#REF!)+'DADOS DOS EMPREENDIMENTOS'!#REF!,IF(AN66='DADOS DOS EMPREENDIMENTOS'!#REF!,'DADOS DOS EMPREENDIMENTOS'!#REF!,AP66*(1-'DADOS DOS EMPREENDIMENTOS'!#REF!-'DADOS DOS EMPREENDIMENTOS'!#REF!))))</f>
        <v>#REF!</v>
      </c>
      <c r="AS66" s="45">
        <v>25</v>
      </c>
      <c r="AT66" s="26">
        <v>40695</v>
      </c>
      <c r="AU66" s="8">
        <v>0</v>
      </c>
      <c r="AV66" s="56" t="e">
        <f>IF(AS66&lt;'DADOS DOS EMPREENDIMENTOS'!AU$11,0,IF(AS66='DADOS DOS EMPREENDIMENTOS'!AU$11,SUM(AU$41:AU66)*(1-'DADOS DOS EMPREENDIMENTOS'!#REF!-'DADOS DOS EMPREENDIMENTOS'!#REF!)+'DADOS DOS EMPREENDIMENTOS'!#REF!,IF(AS66='DADOS DOS EMPREENDIMENTOS'!#REF!,'DADOS DOS EMPREENDIMENTOS'!#REF!,AU66*(1-'DADOS DOS EMPREENDIMENTOS'!#REF!-'DADOS DOS EMPREENDIMENTOS'!#REF!))))</f>
        <v>#REF!</v>
      </c>
      <c r="AX66" s="45">
        <v>25</v>
      </c>
      <c r="AY66" s="26">
        <v>40695</v>
      </c>
      <c r="AZ66" s="8">
        <v>0</v>
      </c>
      <c r="BA66" s="56" t="e">
        <f>IF(AX66&lt;'DADOS DOS EMPREENDIMENTOS'!AZ$11,0,IF(AX66='DADOS DOS EMPREENDIMENTOS'!AZ$11,SUM(AZ$41:AZ66)*(1-'DADOS DOS EMPREENDIMENTOS'!#REF!-'DADOS DOS EMPREENDIMENTOS'!#REF!)+'DADOS DOS EMPREENDIMENTOS'!#REF!,IF(AX66='DADOS DOS EMPREENDIMENTOS'!#REF!,'DADOS DOS EMPREENDIMENTOS'!#REF!,AZ66*(1-'DADOS DOS EMPREENDIMENTOS'!#REF!-'DADOS DOS EMPREENDIMENTOS'!#REF!))))</f>
        <v>#REF!</v>
      </c>
      <c r="BC66" s="45">
        <v>25</v>
      </c>
      <c r="BD66" s="26">
        <v>40695</v>
      </c>
      <c r="BE66" s="8">
        <v>0</v>
      </c>
      <c r="BF66" s="56" t="e">
        <f>IF(BC66&lt;'DADOS DOS EMPREENDIMENTOS'!BE$11,0,IF(BC66='DADOS DOS EMPREENDIMENTOS'!BE$11,SUM(BE$41:BE66)*(1-'DADOS DOS EMPREENDIMENTOS'!#REF!-'DADOS DOS EMPREENDIMENTOS'!#REF!)+'DADOS DOS EMPREENDIMENTOS'!#REF!,IF(BC66='DADOS DOS EMPREENDIMENTOS'!#REF!,'DADOS DOS EMPREENDIMENTOS'!#REF!,BE66*(1-'DADOS DOS EMPREENDIMENTOS'!#REF!-'DADOS DOS EMPREENDIMENTOS'!#REF!))))</f>
        <v>#REF!</v>
      </c>
      <c r="BH66" s="45">
        <v>25</v>
      </c>
      <c r="BI66" s="26">
        <v>40695</v>
      </c>
      <c r="BJ66" s="8">
        <v>0</v>
      </c>
      <c r="BK66" s="56" t="e">
        <f>IF(BH66&lt;'DADOS DOS EMPREENDIMENTOS'!BJ$11,0,IF(BH66='DADOS DOS EMPREENDIMENTOS'!BJ$11,SUM(BJ$41:BJ66)*(1-'DADOS DOS EMPREENDIMENTOS'!#REF!-'DADOS DOS EMPREENDIMENTOS'!#REF!)+'DADOS DOS EMPREENDIMENTOS'!#REF!,IF(BH66='DADOS DOS EMPREENDIMENTOS'!#REF!,'DADOS DOS EMPREENDIMENTOS'!#REF!,BJ66*(1-'DADOS DOS EMPREENDIMENTOS'!#REF!-'DADOS DOS EMPREENDIMENTOS'!#REF!))))</f>
        <v>#REF!</v>
      </c>
      <c r="BM66" s="45">
        <v>25</v>
      </c>
      <c r="BN66" s="26">
        <v>40695</v>
      </c>
      <c r="BO66" s="8">
        <v>0</v>
      </c>
      <c r="BP66" s="56" t="e">
        <f>IF(BM66&lt;'DADOS DOS EMPREENDIMENTOS'!BO$11,0,IF(BM66='DADOS DOS EMPREENDIMENTOS'!BO$11,SUM(BO$41:BO66)*(1-'DADOS DOS EMPREENDIMENTOS'!#REF!-'DADOS DOS EMPREENDIMENTOS'!#REF!)+'DADOS DOS EMPREENDIMENTOS'!#REF!,IF(BM66='DADOS DOS EMPREENDIMENTOS'!BO$12,'DADOS DOS EMPREENDIMENTOS'!#REF!,BO66*(1-'DADOS DOS EMPREENDIMENTOS'!#REF!-'DADOS DOS EMPREENDIMENTOS'!#REF!))))</f>
        <v>#REF!</v>
      </c>
      <c r="BR66" s="45">
        <v>25</v>
      </c>
      <c r="BS66" s="26">
        <v>40695</v>
      </c>
      <c r="BT66" s="8">
        <v>0</v>
      </c>
      <c r="BU66" s="56" t="e">
        <f>IF(BR66&lt;'DADOS DOS EMPREENDIMENTOS'!BT$11,0,IF(BR66='DADOS DOS EMPREENDIMENTOS'!BT$11,SUM(BT$41:BT66)*(1-'DADOS DOS EMPREENDIMENTOS'!#REF!-'DADOS DOS EMPREENDIMENTOS'!#REF!)+'DADOS DOS EMPREENDIMENTOS'!#REF!,IF(BR66='DADOS DOS EMPREENDIMENTOS'!BT$12,'DADOS DOS EMPREENDIMENTOS'!#REF!,BT66*(1-'DADOS DOS EMPREENDIMENTOS'!#REF!-'DADOS DOS EMPREENDIMENTOS'!#REF!))))</f>
        <v>#REF!</v>
      </c>
      <c r="BW66" s="45">
        <v>25</v>
      </c>
      <c r="BX66" s="26">
        <v>40695</v>
      </c>
      <c r="BY66" s="8">
        <v>0</v>
      </c>
      <c r="BZ66" s="56" t="e">
        <f>IF(BW66&lt;'DADOS DOS EMPREENDIMENTOS'!BY$11,0,IF(BW66='DADOS DOS EMPREENDIMENTOS'!BY$11,SUM(BY$41:BY66)*(1-'DADOS DOS EMPREENDIMENTOS'!#REF!-'DADOS DOS EMPREENDIMENTOS'!#REF!)+'DADOS DOS EMPREENDIMENTOS'!#REF!,IF(BW66='DADOS DOS EMPREENDIMENTOS'!BY$12,'DADOS DOS EMPREENDIMENTOS'!#REF!,BY66*(1-'DADOS DOS EMPREENDIMENTOS'!#REF!-'DADOS DOS EMPREENDIMENTOS'!#REF!))))</f>
        <v>#REF!</v>
      </c>
      <c r="CB66" s="45">
        <v>25</v>
      </c>
      <c r="CC66" s="26">
        <v>40695</v>
      </c>
      <c r="CD66" s="8">
        <v>0</v>
      </c>
      <c r="CE66" s="56" t="e">
        <f>IF(CB66&lt;'DADOS DOS EMPREENDIMENTOS'!CD$11,0,IF(CB66='DADOS DOS EMPREENDIMENTOS'!CD$11,SUM(CD$41:CD66)*(1-'DADOS DOS EMPREENDIMENTOS'!#REF!-'DADOS DOS EMPREENDIMENTOS'!#REF!)+'DADOS DOS EMPREENDIMENTOS'!#REF!,IF(CB66='DADOS DOS EMPREENDIMENTOS'!CD$12,'DADOS DOS EMPREENDIMENTOS'!#REF!,CD66*(1-'DADOS DOS EMPREENDIMENTOS'!#REF!-'DADOS DOS EMPREENDIMENTOS'!#REF!))))</f>
        <v>#REF!</v>
      </c>
      <c r="CG66" s="45"/>
      <c r="CH66" s="26"/>
      <c r="CI66" s="8"/>
      <c r="CJ66" s="56"/>
    </row>
    <row r="67" spans="15:88" ht="12.75" customHeight="1" thickBot="1" x14ac:dyDescent="0.25">
      <c r="O67" s="38">
        <v>52</v>
      </c>
      <c r="P67" s="341" t="s">
        <v>273</v>
      </c>
      <c r="Q67" s="344">
        <f>VLOOKUP(P67,Apoio!C:E,2,0)</f>
        <v>240935.1</v>
      </c>
      <c r="R67" s="343">
        <v>226000</v>
      </c>
      <c r="S67" s="206">
        <v>5</v>
      </c>
      <c r="T67" s="45">
        <v>26</v>
      </c>
      <c r="U67" s="26"/>
      <c r="V67" s="8"/>
      <c r="W67" s="56"/>
      <c r="Y67" s="45">
        <v>26</v>
      </c>
      <c r="Z67" s="26"/>
      <c r="AA67" s="8"/>
      <c r="AB67" s="56"/>
      <c r="AD67" s="45">
        <v>26</v>
      </c>
      <c r="AE67" s="26">
        <v>40725</v>
      </c>
      <c r="AF67" s="8">
        <v>0</v>
      </c>
      <c r="AG67" s="56" t="e">
        <f>IF(AD67&lt;'DADOS DOS EMPREENDIMENTOS'!AF$11,0,IF(AD67='DADOS DOS EMPREENDIMENTOS'!AF$11,SUM(AF$41:AF67)*(1-'DADOS DOS EMPREENDIMENTOS'!#REF!-'DADOS DOS EMPREENDIMENTOS'!#REF!)+'DADOS DOS EMPREENDIMENTOS'!#REF!,IF(AD67='DADOS DOS EMPREENDIMENTOS'!#REF!,'DADOS DOS EMPREENDIMENTOS'!#REF!,AF67*(1-'DADOS DOS EMPREENDIMENTOS'!#REF!-'DADOS DOS EMPREENDIMENTOS'!#REF!))))</f>
        <v>#REF!</v>
      </c>
      <c r="AI67" s="45">
        <v>26</v>
      </c>
      <c r="AJ67" s="26">
        <v>40725</v>
      </c>
      <c r="AK67" s="8">
        <v>0</v>
      </c>
      <c r="AL67" s="56" t="e">
        <f>IF(AI67&lt;'DADOS DOS EMPREENDIMENTOS'!AK$11,0,IF(AI67='DADOS DOS EMPREENDIMENTOS'!AK$11,SUM(AK$41:AK67)*(1-'DADOS DOS EMPREENDIMENTOS'!#REF!-'DADOS DOS EMPREENDIMENTOS'!#REF!)+'DADOS DOS EMPREENDIMENTOS'!#REF!,IF(AI67='DADOS DOS EMPREENDIMENTOS'!#REF!,'DADOS DOS EMPREENDIMENTOS'!#REF!,AK67*(1-'DADOS DOS EMPREENDIMENTOS'!#REF!-'DADOS DOS EMPREENDIMENTOS'!#REF!))))</f>
        <v>#REF!</v>
      </c>
      <c r="AN67" s="45">
        <v>26</v>
      </c>
      <c r="AO67" s="26">
        <v>40725</v>
      </c>
      <c r="AP67" s="8">
        <v>0</v>
      </c>
      <c r="AQ67" s="56" t="e">
        <f>IF(AN67&lt;'DADOS DOS EMPREENDIMENTOS'!AP$11,0,IF(AN67='DADOS DOS EMPREENDIMENTOS'!AP$11,SUM(AP$41:AP67)*(1-'DADOS DOS EMPREENDIMENTOS'!#REF!-'DADOS DOS EMPREENDIMENTOS'!#REF!)+'DADOS DOS EMPREENDIMENTOS'!#REF!,IF(AN67='DADOS DOS EMPREENDIMENTOS'!#REF!,'DADOS DOS EMPREENDIMENTOS'!#REF!,AP67*(1-'DADOS DOS EMPREENDIMENTOS'!#REF!-'DADOS DOS EMPREENDIMENTOS'!#REF!))))</f>
        <v>#REF!</v>
      </c>
      <c r="AS67" s="45">
        <v>26</v>
      </c>
      <c r="AT67" s="26">
        <v>40725</v>
      </c>
      <c r="AU67" s="8">
        <v>0</v>
      </c>
      <c r="AV67" s="56" t="e">
        <f>IF(AS67&lt;'DADOS DOS EMPREENDIMENTOS'!AU$11,0,IF(AS67='DADOS DOS EMPREENDIMENTOS'!AU$11,SUM(AU$41:AU67)*(1-'DADOS DOS EMPREENDIMENTOS'!#REF!-'DADOS DOS EMPREENDIMENTOS'!#REF!)+'DADOS DOS EMPREENDIMENTOS'!#REF!,IF(AS67='DADOS DOS EMPREENDIMENTOS'!#REF!,'DADOS DOS EMPREENDIMENTOS'!#REF!,AU67*(1-'DADOS DOS EMPREENDIMENTOS'!#REF!-'DADOS DOS EMPREENDIMENTOS'!#REF!))))</f>
        <v>#REF!</v>
      </c>
      <c r="AX67" s="45">
        <v>26</v>
      </c>
      <c r="AY67" s="26">
        <v>40725</v>
      </c>
      <c r="AZ67" s="8">
        <v>0</v>
      </c>
      <c r="BA67" s="56" t="e">
        <f>IF(AX67&lt;'DADOS DOS EMPREENDIMENTOS'!AZ$11,0,IF(AX67='DADOS DOS EMPREENDIMENTOS'!AZ$11,SUM(AZ$41:AZ67)*(1-'DADOS DOS EMPREENDIMENTOS'!#REF!-'DADOS DOS EMPREENDIMENTOS'!#REF!)+'DADOS DOS EMPREENDIMENTOS'!#REF!,IF(AX67='DADOS DOS EMPREENDIMENTOS'!#REF!,'DADOS DOS EMPREENDIMENTOS'!#REF!,AZ67*(1-'DADOS DOS EMPREENDIMENTOS'!#REF!-'DADOS DOS EMPREENDIMENTOS'!#REF!))))</f>
        <v>#REF!</v>
      </c>
      <c r="BC67" s="45">
        <v>26</v>
      </c>
      <c r="BD67" s="26">
        <v>40725</v>
      </c>
      <c r="BE67" s="8">
        <v>0</v>
      </c>
      <c r="BF67" s="56" t="e">
        <f>IF(BC67&lt;'DADOS DOS EMPREENDIMENTOS'!BE$11,0,IF(BC67='DADOS DOS EMPREENDIMENTOS'!BE$11,SUM(BE$41:BE67)*(1-'DADOS DOS EMPREENDIMENTOS'!#REF!-'DADOS DOS EMPREENDIMENTOS'!#REF!)+'DADOS DOS EMPREENDIMENTOS'!#REF!,IF(BC67='DADOS DOS EMPREENDIMENTOS'!#REF!,'DADOS DOS EMPREENDIMENTOS'!#REF!,BE67*(1-'DADOS DOS EMPREENDIMENTOS'!#REF!-'DADOS DOS EMPREENDIMENTOS'!#REF!))))</f>
        <v>#REF!</v>
      </c>
      <c r="BH67" s="45">
        <v>26</v>
      </c>
      <c r="BI67" s="26">
        <v>40725</v>
      </c>
      <c r="BJ67" s="8">
        <v>0</v>
      </c>
      <c r="BK67" s="56" t="e">
        <f>IF(BH67&lt;'DADOS DOS EMPREENDIMENTOS'!BJ$11,0,IF(BH67='DADOS DOS EMPREENDIMENTOS'!BJ$11,SUM(BJ$41:BJ67)*(1-'DADOS DOS EMPREENDIMENTOS'!#REF!-'DADOS DOS EMPREENDIMENTOS'!#REF!)+'DADOS DOS EMPREENDIMENTOS'!#REF!,IF(BH67='DADOS DOS EMPREENDIMENTOS'!#REF!,'DADOS DOS EMPREENDIMENTOS'!#REF!,BJ67*(1-'DADOS DOS EMPREENDIMENTOS'!#REF!-'DADOS DOS EMPREENDIMENTOS'!#REF!))))</f>
        <v>#REF!</v>
      </c>
      <c r="BM67" s="45">
        <v>26</v>
      </c>
      <c r="BN67" s="26">
        <v>40725</v>
      </c>
      <c r="BO67" s="8">
        <v>0</v>
      </c>
      <c r="BP67" s="56" t="e">
        <f>IF(BM67&lt;'DADOS DOS EMPREENDIMENTOS'!BO$11,0,IF(BM67='DADOS DOS EMPREENDIMENTOS'!BO$11,SUM(BO$41:BO67)*(1-'DADOS DOS EMPREENDIMENTOS'!#REF!-'DADOS DOS EMPREENDIMENTOS'!#REF!)+'DADOS DOS EMPREENDIMENTOS'!#REF!,IF(BM67='DADOS DOS EMPREENDIMENTOS'!BO$12,'DADOS DOS EMPREENDIMENTOS'!#REF!,BO67*(1-'DADOS DOS EMPREENDIMENTOS'!#REF!-'DADOS DOS EMPREENDIMENTOS'!#REF!))))</f>
        <v>#REF!</v>
      </c>
      <c r="BR67" s="45">
        <v>26</v>
      </c>
      <c r="BS67" s="26">
        <v>40725</v>
      </c>
      <c r="BT67" s="8">
        <v>0</v>
      </c>
      <c r="BU67" s="56" t="e">
        <f>IF(BR67&lt;'DADOS DOS EMPREENDIMENTOS'!BT$11,0,IF(BR67='DADOS DOS EMPREENDIMENTOS'!BT$11,SUM(BT$41:BT67)*(1-'DADOS DOS EMPREENDIMENTOS'!#REF!-'DADOS DOS EMPREENDIMENTOS'!#REF!)+'DADOS DOS EMPREENDIMENTOS'!#REF!,IF(BR67='DADOS DOS EMPREENDIMENTOS'!BT$12,'DADOS DOS EMPREENDIMENTOS'!#REF!,BT67*(1-'DADOS DOS EMPREENDIMENTOS'!#REF!-'DADOS DOS EMPREENDIMENTOS'!#REF!))))</f>
        <v>#REF!</v>
      </c>
      <c r="BW67" s="45">
        <v>26</v>
      </c>
      <c r="BX67" s="26">
        <v>40725</v>
      </c>
      <c r="BY67" s="8">
        <v>0</v>
      </c>
      <c r="BZ67" s="56" t="e">
        <f>IF(BW67&lt;'DADOS DOS EMPREENDIMENTOS'!BY$11,0,IF(BW67='DADOS DOS EMPREENDIMENTOS'!BY$11,SUM(BY$41:BY67)*(1-'DADOS DOS EMPREENDIMENTOS'!#REF!-'DADOS DOS EMPREENDIMENTOS'!#REF!)+'DADOS DOS EMPREENDIMENTOS'!#REF!,IF(BW67='DADOS DOS EMPREENDIMENTOS'!BY$12,'DADOS DOS EMPREENDIMENTOS'!#REF!,BY67*(1-'DADOS DOS EMPREENDIMENTOS'!#REF!-'DADOS DOS EMPREENDIMENTOS'!#REF!))))</f>
        <v>#REF!</v>
      </c>
      <c r="CB67" s="45">
        <v>26</v>
      </c>
      <c r="CC67" s="26">
        <v>40725</v>
      </c>
      <c r="CD67" s="8">
        <v>0</v>
      </c>
      <c r="CE67" s="56" t="e">
        <f>IF(CB67&lt;'DADOS DOS EMPREENDIMENTOS'!CD$11,0,IF(CB67='DADOS DOS EMPREENDIMENTOS'!CD$11,SUM(CD$41:CD67)*(1-'DADOS DOS EMPREENDIMENTOS'!#REF!-'DADOS DOS EMPREENDIMENTOS'!#REF!)+'DADOS DOS EMPREENDIMENTOS'!#REF!,IF(CB67='DADOS DOS EMPREENDIMENTOS'!CD$12,'DADOS DOS EMPREENDIMENTOS'!#REF!,CD67*(1-'DADOS DOS EMPREENDIMENTOS'!#REF!-'DADOS DOS EMPREENDIMENTOS'!#REF!))))</f>
        <v>#REF!</v>
      </c>
      <c r="CG67" s="45"/>
      <c r="CH67" s="26"/>
      <c r="CI67" s="8"/>
      <c r="CJ67" s="56"/>
    </row>
    <row r="68" spans="15:88" ht="12.75" customHeight="1" thickBot="1" x14ac:dyDescent="0.25">
      <c r="O68" s="36">
        <v>53</v>
      </c>
      <c r="P68" s="341" t="s">
        <v>274</v>
      </c>
      <c r="Q68" s="344">
        <f>VLOOKUP(P68,Apoio!C:E,2,0)</f>
        <v>240935.1</v>
      </c>
      <c r="R68" s="343">
        <v>223000</v>
      </c>
      <c r="S68" s="206">
        <v>5</v>
      </c>
      <c r="T68" s="45">
        <v>27</v>
      </c>
      <c r="U68" s="26"/>
      <c r="V68" s="8"/>
      <c r="W68" s="56"/>
      <c r="Y68" s="45">
        <v>27</v>
      </c>
      <c r="Z68" s="26"/>
      <c r="AA68" s="8"/>
      <c r="AB68" s="56"/>
      <c r="AD68" s="45">
        <v>27</v>
      </c>
      <c r="AE68" s="26">
        <v>40756</v>
      </c>
      <c r="AF68" s="8">
        <v>0</v>
      </c>
      <c r="AG68" s="56" t="e">
        <f>IF(AD68&lt;'DADOS DOS EMPREENDIMENTOS'!AF$11,0,IF(AD68='DADOS DOS EMPREENDIMENTOS'!AF$11,SUM(AF$41:AF68)*(1-'DADOS DOS EMPREENDIMENTOS'!#REF!-'DADOS DOS EMPREENDIMENTOS'!#REF!)+'DADOS DOS EMPREENDIMENTOS'!#REF!,IF(AD68='DADOS DOS EMPREENDIMENTOS'!#REF!,'DADOS DOS EMPREENDIMENTOS'!#REF!,AF68*(1-'DADOS DOS EMPREENDIMENTOS'!#REF!-'DADOS DOS EMPREENDIMENTOS'!#REF!))))</f>
        <v>#REF!</v>
      </c>
      <c r="AI68" s="45">
        <v>27</v>
      </c>
      <c r="AJ68" s="26">
        <v>40756</v>
      </c>
      <c r="AK68" s="8">
        <v>0</v>
      </c>
      <c r="AL68" s="56" t="e">
        <f>IF(AI68&lt;'DADOS DOS EMPREENDIMENTOS'!AK$11,0,IF(AI68='DADOS DOS EMPREENDIMENTOS'!AK$11,SUM(AK$41:AK68)*(1-'DADOS DOS EMPREENDIMENTOS'!#REF!-'DADOS DOS EMPREENDIMENTOS'!#REF!)+'DADOS DOS EMPREENDIMENTOS'!#REF!,IF(AI68='DADOS DOS EMPREENDIMENTOS'!#REF!,'DADOS DOS EMPREENDIMENTOS'!#REF!,AK68*(1-'DADOS DOS EMPREENDIMENTOS'!#REF!-'DADOS DOS EMPREENDIMENTOS'!#REF!))))</f>
        <v>#REF!</v>
      </c>
      <c r="AN68" s="45">
        <v>27</v>
      </c>
      <c r="AO68" s="26">
        <v>40756</v>
      </c>
      <c r="AP68" s="8">
        <v>0</v>
      </c>
      <c r="AQ68" s="56" t="e">
        <f>IF(AN68&lt;'DADOS DOS EMPREENDIMENTOS'!AP$11,0,IF(AN68='DADOS DOS EMPREENDIMENTOS'!AP$11,SUM(AP$41:AP68)*(1-'DADOS DOS EMPREENDIMENTOS'!#REF!-'DADOS DOS EMPREENDIMENTOS'!#REF!)+'DADOS DOS EMPREENDIMENTOS'!#REF!,IF(AN68='DADOS DOS EMPREENDIMENTOS'!#REF!,'DADOS DOS EMPREENDIMENTOS'!#REF!,AP68*(1-'DADOS DOS EMPREENDIMENTOS'!#REF!-'DADOS DOS EMPREENDIMENTOS'!#REF!))))</f>
        <v>#REF!</v>
      </c>
      <c r="AS68" s="45">
        <v>27</v>
      </c>
      <c r="AT68" s="26">
        <v>40756</v>
      </c>
      <c r="AU68" s="8">
        <v>0</v>
      </c>
      <c r="AV68" s="56" t="e">
        <f>IF(AS68&lt;'DADOS DOS EMPREENDIMENTOS'!AU$11,0,IF(AS68='DADOS DOS EMPREENDIMENTOS'!AU$11,SUM(AU$41:AU68)*(1-'DADOS DOS EMPREENDIMENTOS'!#REF!-'DADOS DOS EMPREENDIMENTOS'!#REF!)+'DADOS DOS EMPREENDIMENTOS'!#REF!,IF(AS68='DADOS DOS EMPREENDIMENTOS'!#REF!,'DADOS DOS EMPREENDIMENTOS'!#REF!,AU68*(1-'DADOS DOS EMPREENDIMENTOS'!#REF!-'DADOS DOS EMPREENDIMENTOS'!#REF!))))</f>
        <v>#REF!</v>
      </c>
      <c r="AX68" s="45">
        <v>27</v>
      </c>
      <c r="AY68" s="26">
        <v>40756</v>
      </c>
      <c r="AZ68" s="8">
        <v>0</v>
      </c>
      <c r="BA68" s="56" t="e">
        <f>IF(AX68&lt;'DADOS DOS EMPREENDIMENTOS'!AZ$11,0,IF(AX68='DADOS DOS EMPREENDIMENTOS'!AZ$11,SUM(AZ$41:AZ68)*(1-'DADOS DOS EMPREENDIMENTOS'!#REF!-'DADOS DOS EMPREENDIMENTOS'!#REF!)+'DADOS DOS EMPREENDIMENTOS'!#REF!,IF(AX68='DADOS DOS EMPREENDIMENTOS'!#REF!,'DADOS DOS EMPREENDIMENTOS'!#REF!,AZ68*(1-'DADOS DOS EMPREENDIMENTOS'!#REF!-'DADOS DOS EMPREENDIMENTOS'!#REF!))))</f>
        <v>#REF!</v>
      </c>
      <c r="BC68" s="45">
        <v>27</v>
      </c>
      <c r="BD68" s="26">
        <v>40756</v>
      </c>
      <c r="BE68" s="8">
        <v>0</v>
      </c>
      <c r="BF68" s="56" t="e">
        <f>IF(BC68&lt;'DADOS DOS EMPREENDIMENTOS'!BE$11,0,IF(BC68='DADOS DOS EMPREENDIMENTOS'!BE$11,SUM(BE$41:BE68)*(1-'DADOS DOS EMPREENDIMENTOS'!#REF!-'DADOS DOS EMPREENDIMENTOS'!#REF!)+'DADOS DOS EMPREENDIMENTOS'!#REF!,IF(BC68='DADOS DOS EMPREENDIMENTOS'!#REF!,'DADOS DOS EMPREENDIMENTOS'!#REF!,BE68*(1-'DADOS DOS EMPREENDIMENTOS'!#REF!-'DADOS DOS EMPREENDIMENTOS'!#REF!))))</f>
        <v>#REF!</v>
      </c>
      <c r="BH68" s="45">
        <v>27</v>
      </c>
      <c r="BI68" s="26">
        <v>40756</v>
      </c>
      <c r="BJ68" s="8">
        <v>0</v>
      </c>
      <c r="BK68" s="56" t="e">
        <f>IF(BH68&lt;'DADOS DOS EMPREENDIMENTOS'!BJ$11,0,IF(BH68='DADOS DOS EMPREENDIMENTOS'!BJ$11,SUM(BJ$41:BJ68)*(1-'DADOS DOS EMPREENDIMENTOS'!#REF!-'DADOS DOS EMPREENDIMENTOS'!#REF!)+'DADOS DOS EMPREENDIMENTOS'!#REF!,IF(BH68='DADOS DOS EMPREENDIMENTOS'!#REF!,'DADOS DOS EMPREENDIMENTOS'!#REF!,BJ68*(1-'DADOS DOS EMPREENDIMENTOS'!#REF!-'DADOS DOS EMPREENDIMENTOS'!#REF!))))</f>
        <v>#REF!</v>
      </c>
      <c r="BM68" s="45">
        <v>27</v>
      </c>
      <c r="BN68" s="26">
        <v>40756</v>
      </c>
      <c r="BO68" s="8">
        <v>0</v>
      </c>
      <c r="BP68" s="56" t="e">
        <f>IF(BM68&lt;'DADOS DOS EMPREENDIMENTOS'!BO$11,0,IF(BM68='DADOS DOS EMPREENDIMENTOS'!BO$11,SUM(BO$41:BO68)*(1-'DADOS DOS EMPREENDIMENTOS'!#REF!-'DADOS DOS EMPREENDIMENTOS'!#REF!)+'DADOS DOS EMPREENDIMENTOS'!#REF!,IF(BM68='DADOS DOS EMPREENDIMENTOS'!BO$12,'DADOS DOS EMPREENDIMENTOS'!#REF!,BO68*(1-'DADOS DOS EMPREENDIMENTOS'!#REF!-'DADOS DOS EMPREENDIMENTOS'!#REF!))))</f>
        <v>#REF!</v>
      </c>
      <c r="BR68" s="45">
        <v>27</v>
      </c>
      <c r="BS68" s="26">
        <v>40756</v>
      </c>
      <c r="BT68" s="8">
        <v>0</v>
      </c>
      <c r="BU68" s="56" t="e">
        <f>IF(BR68&lt;'DADOS DOS EMPREENDIMENTOS'!BT$11,0,IF(BR68='DADOS DOS EMPREENDIMENTOS'!BT$11,SUM(BT$41:BT68)*(1-'DADOS DOS EMPREENDIMENTOS'!#REF!-'DADOS DOS EMPREENDIMENTOS'!#REF!)+'DADOS DOS EMPREENDIMENTOS'!#REF!,IF(BR68='DADOS DOS EMPREENDIMENTOS'!BT$12,'DADOS DOS EMPREENDIMENTOS'!#REF!,BT68*(1-'DADOS DOS EMPREENDIMENTOS'!#REF!-'DADOS DOS EMPREENDIMENTOS'!#REF!))))</f>
        <v>#REF!</v>
      </c>
      <c r="BW68" s="45">
        <v>27</v>
      </c>
      <c r="BX68" s="26">
        <v>40756</v>
      </c>
      <c r="BY68" s="8">
        <v>0</v>
      </c>
      <c r="BZ68" s="56" t="e">
        <f>IF(BW68&lt;'DADOS DOS EMPREENDIMENTOS'!BY$11,0,IF(BW68='DADOS DOS EMPREENDIMENTOS'!BY$11,SUM(BY$41:BY68)*(1-'DADOS DOS EMPREENDIMENTOS'!#REF!-'DADOS DOS EMPREENDIMENTOS'!#REF!)+'DADOS DOS EMPREENDIMENTOS'!#REF!,IF(BW68='DADOS DOS EMPREENDIMENTOS'!BY$12,'DADOS DOS EMPREENDIMENTOS'!#REF!,BY68*(1-'DADOS DOS EMPREENDIMENTOS'!#REF!-'DADOS DOS EMPREENDIMENTOS'!#REF!))))</f>
        <v>#REF!</v>
      </c>
      <c r="CB68" s="45">
        <v>27</v>
      </c>
      <c r="CC68" s="26">
        <v>40756</v>
      </c>
      <c r="CD68" s="8">
        <v>0</v>
      </c>
      <c r="CE68" s="56" t="e">
        <f>IF(CB68&lt;'DADOS DOS EMPREENDIMENTOS'!CD$11,0,IF(CB68='DADOS DOS EMPREENDIMENTOS'!CD$11,SUM(CD$41:CD68)*(1-'DADOS DOS EMPREENDIMENTOS'!#REF!-'DADOS DOS EMPREENDIMENTOS'!#REF!)+'DADOS DOS EMPREENDIMENTOS'!#REF!,IF(CB68='DADOS DOS EMPREENDIMENTOS'!CD$12,'DADOS DOS EMPREENDIMENTOS'!#REF!,CD68*(1-'DADOS DOS EMPREENDIMENTOS'!#REF!-'DADOS DOS EMPREENDIMENTOS'!#REF!))))</f>
        <v>#REF!</v>
      </c>
      <c r="CG68" s="45"/>
      <c r="CH68" s="26"/>
      <c r="CI68" s="8"/>
      <c r="CJ68" s="56"/>
    </row>
    <row r="69" spans="15:88" ht="12.75" customHeight="1" thickBot="1" x14ac:dyDescent="0.25">
      <c r="O69" s="38">
        <v>54</v>
      </c>
      <c r="P69" s="341" t="s">
        <v>275</v>
      </c>
      <c r="Q69" s="344">
        <f>VLOOKUP(P69,Apoio!C:E,2,0)</f>
        <v>240430.3</v>
      </c>
      <c r="R69" s="343">
        <v>223000</v>
      </c>
      <c r="S69" s="206">
        <v>5</v>
      </c>
      <c r="T69" s="45">
        <v>28</v>
      </c>
      <c r="U69" s="26"/>
      <c r="V69" s="8"/>
      <c r="W69" s="56"/>
      <c r="Y69" s="45">
        <v>28</v>
      </c>
      <c r="Z69" s="26"/>
      <c r="AA69" s="8"/>
      <c r="AB69" s="56"/>
      <c r="AD69" s="45">
        <v>28</v>
      </c>
      <c r="AE69" s="26">
        <v>40787</v>
      </c>
      <c r="AF69" s="8">
        <v>0</v>
      </c>
      <c r="AG69" s="56" t="e">
        <f>IF(AD69&lt;'DADOS DOS EMPREENDIMENTOS'!AF$11,0,IF(AD69='DADOS DOS EMPREENDIMENTOS'!AF$11,SUM(AF$41:AF69)*(1-'DADOS DOS EMPREENDIMENTOS'!#REF!-'DADOS DOS EMPREENDIMENTOS'!#REF!)+'DADOS DOS EMPREENDIMENTOS'!#REF!,IF(AD69='DADOS DOS EMPREENDIMENTOS'!#REF!,'DADOS DOS EMPREENDIMENTOS'!#REF!,AF69*(1-'DADOS DOS EMPREENDIMENTOS'!#REF!-'DADOS DOS EMPREENDIMENTOS'!#REF!))))</f>
        <v>#REF!</v>
      </c>
      <c r="AI69" s="45">
        <v>28</v>
      </c>
      <c r="AJ69" s="26">
        <v>40787</v>
      </c>
      <c r="AK69" s="8">
        <v>0</v>
      </c>
      <c r="AL69" s="56" t="e">
        <f>IF(AI69&lt;'DADOS DOS EMPREENDIMENTOS'!AK$11,0,IF(AI69='DADOS DOS EMPREENDIMENTOS'!AK$11,SUM(AK$41:AK69)*(1-'DADOS DOS EMPREENDIMENTOS'!#REF!-'DADOS DOS EMPREENDIMENTOS'!#REF!)+'DADOS DOS EMPREENDIMENTOS'!#REF!,IF(AI69='DADOS DOS EMPREENDIMENTOS'!#REF!,'DADOS DOS EMPREENDIMENTOS'!#REF!,AK69*(1-'DADOS DOS EMPREENDIMENTOS'!#REF!-'DADOS DOS EMPREENDIMENTOS'!#REF!))))</f>
        <v>#REF!</v>
      </c>
      <c r="AN69" s="45">
        <v>28</v>
      </c>
      <c r="AO69" s="26">
        <v>40787</v>
      </c>
      <c r="AP69" s="8">
        <v>0</v>
      </c>
      <c r="AQ69" s="56" t="e">
        <f>IF(AN69&lt;'DADOS DOS EMPREENDIMENTOS'!AP$11,0,IF(AN69='DADOS DOS EMPREENDIMENTOS'!AP$11,SUM(AP$41:AP69)*(1-'DADOS DOS EMPREENDIMENTOS'!#REF!-'DADOS DOS EMPREENDIMENTOS'!#REF!)+'DADOS DOS EMPREENDIMENTOS'!#REF!,IF(AN69='DADOS DOS EMPREENDIMENTOS'!#REF!,'DADOS DOS EMPREENDIMENTOS'!#REF!,AP69*(1-'DADOS DOS EMPREENDIMENTOS'!#REF!-'DADOS DOS EMPREENDIMENTOS'!#REF!))))</f>
        <v>#REF!</v>
      </c>
      <c r="AS69" s="45">
        <v>28</v>
      </c>
      <c r="AT69" s="26">
        <v>40787</v>
      </c>
      <c r="AU69" s="8">
        <v>0</v>
      </c>
      <c r="AV69" s="56" t="e">
        <f>IF(AS69&lt;'DADOS DOS EMPREENDIMENTOS'!AU$11,0,IF(AS69='DADOS DOS EMPREENDIMENTOS'!AU$11,SUM(AU$41:AU69)*(1-'DADOS DOS EMPREENDIMENTOS'!#REF!-'DADOS DOS EMPREENDIMENTOS'!#REF!)+'DADOS DOS EMPREENDIMENTOS'!#REF!,IF(AS69='DADOS DOS EMPREENDIMENTOS'!#REF!,'DADOS DOS EMPREENDIMENTOS'!#REF!,AU69*(1-'DADOS DOS EMPREENDIMENTOS'!#REF!-'DADOS DOS EMPREENDIMENTOS'!#REF!))))</f>
        <v>#REF!</v>
      </c>
      <c r="AX69" s="45">
        <v>28</v>
      </c>
      <c r="AY69" s="26">
        <v>40787</v>
      </c>
      <c r="AZ69" s="8">
        <v>0</v>
      </c>
      <c r="BA69" s="56" t="e">
        <f>IF(AX69&lt;'DADOS DOS EMPREENDIMENTOS'!AZ$11,0,IF(AX69='DADOS DOS EMPREENDIMENTOS'!AZ$11,SUM(AZ$41:AZ69)*(1-'DADOS DOS EMPREENDIMENTOS'!#REF!-'DADOS DOS EMPREENDIMENTOS'!#REF!)+'DADOS DOS EMPREENDIMENTOS'!#REF!,IF(AX69='DADOS DOS EMPREENDIMENTOS'!#REF!,'DADOS DOS EMPREENDIMENTOS'!#REF!,AZ69*(1-'DADOS DOS EMPREENDIMENTOS'!#REF!-'DADOS DOS EMPREENDIMENTOS'!#REF!))))</f>
        <v>#REF!</v>
      </c>
      <c r="BC69" s="45">
        <v>28</v>
      </c>
      <c r="BD69" s="26">
        <v>40787</v>
      </c>
      <c r="BE69" s="8">
        <v>0</v>
      </c>
      <c r="BF69" s="56" t="e">
        <f>IF(BC69&lt;'DADOS DOS EMPREENDIMENTOS'!BE$11,0,IF(BC69='DADOS DOS EMPREENDIMENTOS'!BE$11,SUM(BE$41:BE69)*(1-'DADOS DOS EMPREENDIMENTOS'!#REF!-'DADOS DOS EMPREENDIMENTOS'!#REF!)+'DADOS DOS EMPREENDIMENTOS'!#REF!,IF(BC69='DADOS DOS EMPREENDIMENTOS'!#REF!,'DADOS DOS EMPREENDIMENTOS'!#REF!,BE69*(1-'DADOS DOS EMPREENDIMENTOS'!#REF!-'DADOS DOS EMPREENDIMENTOS'!#REF!))))</f>
        <v>#REF!</v>
      </c>
      <c r="BH69" s="45">
        <v>28</v>
      </c>
      <c r="BI69" s="26">
        <v>40787</v>
      </c>
      <c r="BJ69" s="8">
        <v>0</v>
      </c>
      <c r="BK69" s="56" t="e">
        <f>IF(BH69&lt;'DADOS DOS EMPREENDIMENTOS'!BJ$11,0,IF(BH69='DADOS DOS EMPREENDIMENTOS'!BJ$11,SUM(BJ$41:BJ69)*(1-'DADOS DOS EMPREENDIMENTOS'!#REF!-'DADOS DOS EMPREENDIMENTOS'!#REF!)+'DADOS DOS EMPREENDIMENTOS'!#REF!,IF(BH69='DADOS DOS EMPREENDIMENTOS'!#REF!,'DADOS DOS EMPREENDIMENTOS'!#REF!,BJ69*(1-'DADOS DOS EMPREENDIMENTOS'!#REF!-'DADOS DOS EMPREENDIMENTOS'!#REF!))))</f>
        <v>#REF!</v>
      </c>
      <c r="BM69" s="45">
        <v>28</v>
      </c>
      <c r="BN69" s="26">
        <v>40787</v>
      </c>
      <c r="BO69" s="8">
        <v>0</v>
      </c>
      <c r="BP69" s="56" t="e">
        <f>IF(BM69&lt;'DADOS DOS EMPREENDIMENTOS'!BO$11,0,IF(BM69='DADOS DOS EMPREENDIMENTOS'!BO$11,SUM(BO$41:BO69)*(1-'DADOS DOS EMPREENDIMENTOS'!#REF!-'DADOS DOS EMPREENDIMENTOS'!#REF!)+'DADOS DOS EMPREENDIMENTOS'!#REF!,IF(BM69='DADOS DOS EMPREENDIMENTOS'!BO$12,'DADOS DOS EMPREENDIMENTOS'!#REF!,BO69*(1-'DADOS DOS EMPREENDIMENTOS'!#REF!-'DADOS DOS EMPREENDIMENTOS'!#REF!))))</f>
        <v>#REF!</v>
      </c>
      <c r="BR69" s="45">
        <v>28</v>
      </c>
      <c r="BS69" s="26">
        <v>40787</v>
      </c>
      <c r="BT69" s="8">
        <v>0</v>
      </c>
      <c r="BU69" s="56" t="e">
        <f>IF(BR69&lt;'DADOS DOS EMPREENDIMENTOS'!BT$11,0,IF(BR69='DADOS DOS EMPREENDIMENTOS'!BT$11,SUM(BT$41:BT69)*(1-'DADOS DOS EMPREENDIMENTOS'!#REF!-'DADOS DOS EMPREENDIMENTOS'!#REF!)+'DADOS DOS EMPREENDIMENTOS'!#REF!,IF(BR69='DADOS DOS EMPREENDIMENTOS'!BT$12,'DADOS DOS EMPREENDIMENTOS'!#REF!,BT69*(1-'DADOS DOS EMPREENDIMENTOS'!#REF!-'DADOS DOS EMPREENDIMENTOS'!#REF!))))</f>
        <v>#REF!</v>
      </c>
      <c r="BW69" s="45">
        <v>28</v>
      </c>
      <c r="BX69" s="26">
        <v>40787</v>
      </c>
      <c r="BY69" s="8">
        <v>0</v>
      </c>
      <c r="BZ69" s="56" t="e">
        <f>IF(BW69&lt;'DADOS DOS EMPREENDIMENTOS'!BY$11,0,IF(BW69='DADOS DOS EMPREENDIMENTOS'!BY$11,SUM(BY$41:BY69)*(1-'DADOS DOS EMPREENDIMENTOS'!#REF!-'DADOS DOS EMPREENDIMENTOS'!#REF!)+'DADOS DOS EMPREENDIMENTOS'!#REF!,IF(BW69='DADOS DOS EMPREENDIMENTOS'!BY$12,'DADOS DOS EMPREENDIMENTOS'!#REF!,BY69*(1-'DADOS DOS EMPREENDIMENTOS'!#REF!-'DADOS DOS EMPREENDIMENTOS'!#REF!))))</f>
        <v>#REF!</v>
      </c>
      <c r="CB69" s="45">
        <v>28</v>
      </c>
      <c r="CC69" s="26">
        <v>40787</v>
      </c>
      <c r="CD69" s="8">
        <v>0</v>
      </c>
      <c r="CE69" s="56" t="e">
        <f>IF(CB69&lt;'DADOS DOS EMPREENDIMENTOS'!CD$11,0,IF(CB69='DADOS DOS EMPREENDIMENTOS'!CD$11,SUM(CD$41:CD69)*(1-'DADOS DOS EMPREENDIMENTOS'!#REF!-'DADOS DOS EMPREENDIMENTOS'!#REF!)+'DADOS DOS EMPREENDIMENTOS'!#REF!,IF(CB69='DADOS DOS EMPREENDIMENTOS'!CD$12,'DADOS DOS EMPREENDIMENTOS'!#REF!,CD69*(1-'DADOS DOS EMPREENDIMENTOS'!#REF!-'DADOS DOS EMPREENDIMENTOS'!#REF!))))</f>
        <v>#REF!</v>
      </c>
      <c r="CG69" s="45"/>
      <c r="CH69" s="26"/>
      <c r="CI69" s="8"/>
      <c r="CJ69" s="56"/>
    </row>
    <row r="70" spans="15:88" ht="12.75" customHeight="1" thickBot="1" x14ac:dyDescent="0.25">
      <c r="O70" s="36">
        <v>55</v>
      </c>
      <c r="P70" s="341" t="s">
        <v>276</v>
      </c>
      <c r="Q70" s="344">
        <f>VLOOKUP(P70,Apoio!C:E,2,0)</f>
        <v>238050.3</v>
      </c>
      <c r="R70" s="343">
        <v>226000</v>
      </c>
      <c r="S70" s="206">
        <v>5</v>
      </c>
      <c r="T70" s="45">
        <v>29</v>
      </c>
      <c r="U70" s="26"/>
      <c r="V70" s="8"/>
      <c r="W70" s="56"/>
      <c r="Y70" s="45">
        <v>29</v>
      </c>
      <c r="Z70" s="26"/>
      <c r="AA70" s="8"/>
      <c r="AB70" s="56"/>
      <c r="AD70" s="45">
        <v>29</v>
      </c>
      <c r="AE70" s="26">
        <v>40817</v>
      </c>
      <c r="AF70" s="8">
        <v>0</v>
      </c>
      <c r="AG70" s="56" t="e">
        <f>IF(AD70&lt;'DADOS DOS EMPREENDIMENTOS'!AF$11,0,IF(AD70='DADOS DOS EMPREENDIMENTOS'!AF$11,SUM(AF$41:AF70)*(1-'DADOS DOS EMPREENDIMENTOS'!#REF!-'DADOS DOS EMPREENDIMENTOS'!#REF!)+'DADOS DOS EMPREENDIMENTOS'!#REF!,IF(AD70='DADOS DOS EMPREENDIMENTOS'!#REF!,'DADOS DOS EMPREENDIMENTOS'!#REF!,AF70*(1-'DADOS DOS EMPREENDIMENTOS'!#REF!-'DADOS DOS EMPREENDIMENTOS'!#REF!))))</f>
        <v>#REF!</v>
      </c>
      <c r="AI70" s="45">
        <v>29</v>
      </c>
      <c r="AJ70" s="26">
        <v>40817</v>
      </c>
      <c r="AK70" s="8">
        <v>0</v>
      </c>
      <c r="AL70" s="56" t="e">
        <f>IF(AI70&lt;'DADOS DOS EMPREENDIMENTOS'!AK$11,0,IF(AI70='DADOS DOS EMPREENDIMENTOS'!AK$11,SUM(AK$41:AK70)*(1-'DADOS DOS EMPREENDIMENTOS'!#REF!-'DADOS DOS EMPREENDIMENTOS'!#REF!)+'DADOS DOS EMPREENDIMENTOS'!#REF!,IF(AI70='DADOS DOS EMPREENDIMENTOS'!#REF!,'DADOS DOS EMPREENDIMENTOS'!#REF!,AK70*(1-'DADOS DOS EMPREENDIMENTOS'!#REF!-'DADOS DOS EMPREENDIMENTOS'!#REF!))))</f>
        <v>#REF!</v>
      </c>
      <c r="AN70" s="45">
        <v>29</v>
      </c>
      <c r="AO70" s="26">
        <v>40817</v>
      </c>
      <c r="AP70" s="8">
        <v>0</v>
      </c>
      <c r="AQ70" s="56" t="e">
        <f>IF(AN70&lt;'DADOS DOS EMPREENDIMENTOS'!AP$11,0,IF(AN70='DADOS DOS EMPREENDIMENTOS'!AP$11,SUM(AP$41:AP70)*(1-'DADOS DOS EMPREENDIMENTOS'!#REF!-'DADOS DOS EMPREENDIMENTOS'!#REF!)+'DADOS DOS EMPREENDIMENTOS'!#REF!,IF(AN70='DADOS DOS EMPREENDIMENTOS'!#REF!,'DADOS DOS EMPREENDIMENTOS'!#REF!,AP70*(1-'DADOS DOS EMPREENDIMENTOS'!#REF!-'DADOS DOS EMPREENDIMENTOS'!#REF!))))</f>
        <v>#REF!</v>
      </c>
      <c r="AS70" s="45">
        <v>29</v>
      </c>
      <c r="AT70" s="26">
        <v>40817</v>
      </c>
      <c r="AU70" s="8">
        <v>0</v>
      </c>
      <c r="AV70" s="56" t="e">
        <f>IF(AS70&lt;'DADOS DOS EMPREENDIMENTOS'!AU$11,0,IF(AS70='DADOS DOS EMPREENDIMENTOS'!AU$11,SUM(AU$41:AU70)*(1-'DADOS DOS EMPREENDIMENTOS'!#REF!-'DADOS DOS EMPREENDIMENTOS'!#REF!)+'DADOS DOS EMPREENDIMENTOS'!#REF!,IF(AS70='DADOS DOS EMPREENDIMENTOS'!#REF!,'DADOS DOS EMPREENDIMENTOS'!#REF!,AU70*(1-'DADOS DOS EMPREENDIMENTOS'!#REF!-'DADOS DOS EMPREENDIMENTOS'!#REF!))))</f>
        <v>#REF!</v>
      </c>
      <c r="AX70" s="45">
        <v>29</v>
      </c>
      <c r="AY70" s="26">
        <v>40817</v>
      </c>
      <c r="AZ70" s="8">
        <v>0</v>
      </c>
      <c r="BA70" s="56" t="e">
        <f>IF(AX70&lt;'DADOS DOS EMPREENDIMENTOS'!AZ$11,0,IF(AX70='DADOS DOS EMPREENDIMENTOS'!AZ$11,SUM(AZ$41:AZ70)*(1-'DADOS DOS EMPREENDIMENTOS'!#REF!-'DADOS DOS EMPREENDIMENTOS'!#REF!)+'DADOS DOS EMPREENDIMENTOS'!#REF!,IF(AX70='DADOS DOS EMPREENDIMENTOS'!#REF!,'DADOS DOS EMPREENDIMENTOS'!#REF!,AZ70*(1-'DADOS DOS EMPREENDIMENTOS'!#REF!-'DADOS DOS EMPREENDIMENTOS'!#REF!))))</f>
        <v>#REF!</v>
      </c>
      <c r="BC70" s="45">
        <v>29</v>
      </c>
      <c r="BD70" s="26">
        <v>40817</v>
      </c>
      <c r="BE70" s="8">
        <v>0</v>
      </c>
      <c r="BF70" s="56" t="e">
        <f>IF(BC70&lt;'DADOS DOS EMPREENDIMENTOS'!BE$11,0,IF(BC70='DADOS DOS EMPREENDIMENTOS'!BE$11,SUM(BE$41:BE70)*(1-'DADOS DOS EMPREENDIMENTOS'!#REF!-'DADOS DOS EMPREENDIMENTOS'!#REF!)+'DADOS DOS EMPREENDIMENTOS'!#REF!,IF(BC70='DADOS DOS EMPREENDIMENTOS'!#REF!,'DADOS DOS EMPREENDIMENTOS'!#REF!,BE70*(1-'DADOS DOS EMPREENDIMENTOS'!#REF!-'DADOS DOS EMPREENDIMENTOS'!#REF!))))</f>
        <v>#REF!</v>
      </c>
      <c r="BH70" s="45">
        <v>29</v>
      </c>
      <c r="BI70" s="26">
        <v>40817</v>
      </c>
      <c r="BJ70" s="8">
        <v>0</v>
      </c>
      <c r="BK70" s="56" t="e">
        <f>IF(BH70&lt;'DADOS DOS EMPREENDIMENTOS'!BJ$11,0,IF(BH70='DADOS DOS EMPREENDIMENTOS'!BJ$11,SUM(BJ$41:BJ70)*(1-'DADOS DOS EMPREENDIMENTOS'!#REF!-'DADOS DOS EMPREENDIMENTOS'!#REF!)+'DADOS DOS EMPREENDIMENTOS'!#REF!,IF(BH70='DADOS DOS EMPREENDIMENTOS'!#REF!,'DADOS DOS EMPREENDIMENTOS'!#REF!,BJ70*(1-'DADOS DOS EMPREENDIMENTOS'!#REF!-'DADOS DOS EMPREENDIMENTOS'!#REF!))))</f>
        <v>#REF!</v>
      </c>
      <c r="BM70" s="45">
        <v>29</v>
      </c>
      <c r="BN70" s="26">
        <v>40817</v>
      </c>
      <c r="BO70" s="8">
        <v>0</v>
      </c>
      <c r="BP70" s="56" t="e">
        <f>IF(BM70&lt;'DADOS DOS EMPREENDIMENTOS'!BO$11,0,IF(BM70='DADOS DOS EMPREENDIMENTOS'!BO$11,SUM(BO$41:BO70)*(1-'DADOS DOS EMPREENDIMENTOS'!#REF!-'DADOS DOS EMPREENDIMENTOS'!#REF!)+'DADOS DOS EMPREENDIMENTOS'!#REF!,IF(BM70='DADOS DOS EMPREENDIMENTOS'!BO$12,'DADOS DOS EMPREENDIMENTOS'!#REF!,BO70*(1-'DADOS DOS EMPREENDIMENTOS'!#REF!-'DADOS DOS EMPREENDIMENTOS'!#REF!))))</f>
        <v>#REF!</v>
      </c>
      <c r="BR70" s="45">
        <v>29</v>
      </c>
      <c r="BS70" s="26">
        <v>40817</v>
      </c>
      <c r="BT70" s="8">
        <v>0</v>
      </c>
      <c r="BU70" s="56" t="e">
        <f>IF(BR70&lt;'DADOS DOS EMPREENDIMENTOS'!BT$11,0,IF(BR70='DADOS DOS EMPREENDIMENTOS'!BT$11,SUM(BT$41:BT70)*(1-'DADOS DOS EMPREENDIMENTOS'!#REF!-'DADOS DOS EMPREENDIMENTOS'!#REF!)+'DADOS DOS EMPREENDIMENTOS'!#REF!,IF(BR70='DADOS DOS EMPREENDIMENTOS'!BT$12,'DADOS DOS EMPREENDIMENTOS'!#REF!,BT70*(1-'DADOS DOS EMPREENDIMENTOS'!#REF!-'DADOS DOS EMPREENDIMENTOS'!#REF!))))</f>
        <v>#REF!</v>
      </c>
      <c r="BW70" s="45">
        <v>29</v>
      </c>
      <c r="BX70" s="26">
        <v>40817</v>
      </c>
      <c r="BY70" s="8">
        <v>0</v>
      </c>
      <c r="BZ70" s="56" t="e">
        <f>IF(BW70&lt;'DADOS DOS EMPREENDIMENTOS'!BY$11,0,IF(BW70='DADOS DOS EMPREENDIMENTOS'!BY$11,SUM(BY$41:BY70)*(1-'DADOS DOS EMPREENDIMENTOS'!#REF!-'DADOS DOS EMPREENDIMENTOS'!#REF!)+'DADOS DOS EMPREENDIMENTOS'!#REF!,IF(BW70='DADOS DOS EMPREENDIMENTOS'!BY$12,'DADOS DOS EMPREENDIMENTOS'!#REF!,BY70*(1-'DADOS DOS EMPREENDIMENTOS'!#REF!-'DADOS DOS EMPREENDIMENTOS'!#REF!))))</f>
        <v>#REF!</v>
      </c>
      <c r="CB70" s="45">
        <v>29</v>
      </c>
      <c r="CC70" s="26">
        <v>40817</v>
      </c>
      <c r="CD70" s="8">
        <v>0</v>
      </c>
      <c r="CE70" s="56" t="e">
        <f>IF(CB70&lt;'DADOS DOS EMPREENDIMENTOS'!CD$11,0,IF(CB70='DADOS DOS EMPREENDIMENTOS'!CD$11,SUM(CD$41:CD70)*(1-'DADOS DOS EMPREENDIMENTOS'!#REF!-'DADOS DOS EMPREENDIMENTOS'!#REF!)+'DADOS DOS EMPREENDIMENTOS'!#REF!,IF(CB70='DADOS DOS EMPREENDIMENTOS'!CD$12,'DADOS DOS EMPREENDIMENTOS'!#REF!,CD70*(1-'DADOS DOS EMPREENDIMENTOS'!#REF!-'DADOS DOS EMPREENDIMENTOS'!#REF!))))</f>
        <v>#REF!</v>
      </c>
      <c r="CG70" s="45"/>
      <c r="CH70" s="26"/>
      <c r="CI70" s="8"/>
      <c r="CJ70" s="56"/>
    </row>
    <row r="71" spans="15:88" ht="12.75" customHeight="1" thickBot="1" x14ac:dyDescent="0.25">
      <c r="O71" s="38">
        <v>56</v>
      </c>
      <c r="P71" s="341" t="s">
        <v>277</v>
      </c>
      <c r="Q71" s="344">
        <f>VLOOKUP(P71,Apoio!C:E,2,0)</f>
        <v>242846.7</v>
      </c>
      <c r="R71" s="343">
        <v>240000</v>
      </c>
      <c r="S71" s="206">
        <v>5</v>
      </c>
      <c r="T71" s="45">
        <v>30</v>
      </c>
      <c r="U71" s="26"/>
      <c r="V71" s="8"/>
      <c r="W71" s="56"/>
      <c r="Y71" s="45">
        <v>30</v>
      </c>
      <c r="Z71" s="26"/>
      <c r="AA71" s="8"/>
      <c r="AB71" s="56"/>
      <c r="AD71" s="45">
        <v>30</v>
      </c>
      <c r="AE71" s="26">
        <v>40848</v>
      </c>
      <c r="AF71" s="8">
        <v>0</v>
      </c>
      <c r="AG71" s="56" t="e">
        <f>IF(AD71&lt;'DADOS DOS EMPREENDIMENTOS'!AF$11,0,IF(AD71='DADOS DOS EMPREENDIMENTOS'!AF$11,SUM(AF$41:AF71)*(1-'DADOS DOS EMPREENDIMENTOS'!#REF!-'DADOS DOS EMPREENDIMENTOS'!#REF!)+'DADOS DOS EMPREENDIMENTOS'!#REF!,IF(AD71='DADOS DOS EMPREENDIMENTOS'!#REF!,'DADOS DOS EMPREENDIMENTOS'!#REF!,AF71*(1-'DADOS DOS EMPREENDIMENTOS'!#REF!-'DADOS DOS EMPREENDIMENTOS'!#REF!))))</f>
        <v>#REF!</v>
      </c>
      <c r="AI71" s="45">
        <v>30</v>
      </c>
      <c r="AJ71" s="26">
        <v>40848</v>
      </c>
      <c r="AK71" s="8">
        <v>0</v>
      </c>
      <c r="AL71" s="56" t="e">
        <f>IF(AI71&lt;'DADOS DOS EMPREENDIMENTOS'!AK$11,0,IF(AI71='DADOS DOS EMPREENDIMENTOS'!AK$11,SUM(AK$41:AK71)*(1-'DADOS DOS EMPREENDIMENTOS'!#REF!-'DADOS DOS EMPREENDIMENTOS'!#REF!)+'DADOS DOS EMPREENDIMENTOS'!#REF!,IF(AI71='DADOS DOS EMPREENDIMENTOS'!#REF!,'DADOS DOS EMPREENDIMENTOS'!#REF!,AK71*(1-'DADOS DOS EMPREENDIMENTOS'!#REF!-'DADOS DOS EMPREENDIMENTOS'!#REF!))))</f>
        <v>#REF!</v>
      </c>
      <c r="AN71" s="45">
        <v>30</v>
      </c>
      <c r="AO71" s="26">
        <v>40848</v>
      </c>
      <c r="AP71" s="8">
        <v>0</v>
      </c>
      <c r="AQ71" s="56" t="e">
        <f>IF(AN71&lt;'DADOS DOS EMPREENDIMENTOS'!AP$11,0,IF(AN71='DADOS DOS EMPREENDIMENTOS'!AP$11,SUM(AP$41:AP71)*(1-'DADOS DOS EMPREENDIMENTOS'!#REF!-'DADOS DOS EMPREENDIMENTOS'!#REF!)+'DADOS DOS EMPREENDIMENTOS'!#REF!,IF(AN71='DADOS DOS EMPREENDIMENTOS'!#REF!,'DADOS DOS EMPREENDIMENTOS'!#REF!,AP71*(1-'DADOS DOS EMPREENDIMENTOS'!#REF!-'DADOS DOS EMPREENDIMENTOS'!#REF!))))</f>
        <v>#REF!</v>
      </c>
      <c r="AS71" s="45">
        <v>30</v>
      </c>
      <c r="AT71" s="26">
        <v>40848</v>
      </c>
      <c r="AU71" s="8">
        <v>0</v>
      </c>
      <c r="AV71" s="56" t="e">
        <f>IF(AS71&lt;'DADOS DOS EMPREENDIMENTOS'!AU$11,0,IF(AS71='DADOS DOS EMPREENDIMENTOS'!AU$11,SUM(AU$41:AU71)*(1-'DADOS DOS EMPREENDIMENTOS'!#REF!-'DADOS DOS EMPREENDIMENTOS'!#REF!)+'DADOS DOS EMPREENDIMENTOS'!#REF!,IF(AS71='DADOS DOS EMPREENDIMENTOS'!#REF!,'DADOS DOS EMPREENDIMENTOS'!#REF!,AU71*(1-'DADOS DOS EMPREENDIMENTOS'!#REF!-'DADOS DOS EMPREENDIMENTOS'!#REF!))))</f>
        <v>#REF!</v>
      </c>
      <c r="AX71" s="45">
        <v>30</v>
      </c>
      <c r="AY71" s="26">
        <v>40848</v>
      </c>
      <c r="AZ71" s="8">
        <v>0</v>
      </c>
      <c r="BA71" s="56" t="e">
        <f>IF(AX71&lt;'DADOS DOS EMPREENDIMENTOS'!AZ$11,0,IF(AX71='DADOS DOS EMPREENDIMENTOS'!AZ$11,SUM(AZ$41:AZ71)*(1-'DADOS DOS EMPREENDIMENTOS'!#REF!-'DADOS DOS EMPREENDIMENTOS'!#REF!)+'DADOS DOS EMPREENDIMENTOS'!#REF!,IF(AX71='DADOS DOS EMPREENDIMENTOS'!#REF!,'DADOS DOS EMPREENDIMENTOS'!#REF!,AZ71*(1-'DADOS DOS EMPREENDIMENTOS'!#REF!-'DADOS DOS EMPREENDIMENTOS'!#REF!))))</f>
        <v>#REF!</v>
      </c>
      <c r="BC71" s="45">
        <v>30</v>
      </c>
      <c r="BD71" s="26">
        <v>40848</v>
      </c>
      <c r="BE71" s="8">
        <v>0</v>
      </c>
      <c r="BF71" s="56" t="e">
        <f>IF(BC71&lt;'DADOS DOS EMPREENDIMENTOS'!BE$11,0,IF(BC71='DADOS DOS EMPREENDIMENTOS'!BE$11,SUM(BE$41:BE71)*(1-'DADOS DOS EMPREENDIMENTOS'!#REF!-'DADOS DOS EMPREENDIMENTOS'!#REF!)+'DADOS DOS EMPREENDIMENTOS'!#REF!,IF(BC71='DADOS DOS EMPREENDIMENTOS'!#REF!,'DADOS DOS EMPREENDIMENTOS'!#REF!,BE71*(1-'DADOS DOS EMPREENDIMENTOS'!#REF!-'DADOS DOS EMPREENDIMENTOS'!#REF!))))</f>
        <v>#REF!</v>
      </c>
      <c r="BH71" s="45">
        <v>30</v>
      </c>
      <c r="BI71" s="26">
        <v>40848</v>
      </c>
      <c r="BJ71" s="8">
        <v>0</v>
      </c>
      <c r="BK71" s="56" t="e">
        <f>IF(BH71&lt;'DADOS DOS EMPREENDIMENTOS'!BJ$11,0,IF(BH71='DADOS DOS EMPREENDIMENTOS'!BJ$11,SUM(BJ$41:BJ71)*(1-'DADOS DOS EMPREENDIMENTOS'!#REF!-'DADOS DOS EMPREENDIMENTOS'!#REF!)+'DADOS DOS EMPREENDIMENTOS'!#REF!,IF(BH71='DADOS DOS EMPREENDIMENTOS'!#REF!,'DADOS DOS EMPREENDIMENTOS'!#REF!,BJ71*(1-'DADOS DOS EMPREENDIMENTOS'!#REF!-'DADOS DOS EMPREENDIMENTOS'!#REF!))))</f>
        <v>#REF!</v>
      </c>
      <c r="BM71" s="45">
        <v>30</v>
      </c>
      <c r="BN71" s="26">
        <v>40848</v>
      </c>
      <c r="BO71" s="8">
        <v>0</v>
      </c>
      <c r="BP71" s="56" t="e">
        <f>IF(BM71&lt;'DADOS DOS EMPREENDIMENTOS'!BO$11,0,IF(BM71='DADOS DOS EMPREENDIMENTOS'!BO$11,SUM(BO$41:BO71)*(1-'DADOS DOS EMPREENDIMENTOS'!#REF!-'DADOS DOS EMPREENDIMENTOS'!#REF!)+'DADOS DOS EMPREENDIMENTOS'!#REF!,IF(BM71='DADOS DOS EMPREENDIMENTOS'!BO$12,'DADOS DOS EMPREENDIMENTOS'!#REF!,BO71*(1-'DADOS DOS EMPREENDIMENTOS'!#REF!-'DADOS DOS EMPREENDIMENTOS'!#REF!))))</f>
        <v>#REF!</v>
      </c>
      <c r="BR71" s="45">
        <v>30</v>
      </c>
      <c r="BS71" s="26">
        <v>40848</v>
      </c>
      <c r="BT71" s="8">
        <v>0</v>
      </c>
      <c r="BU71" s="56" t="e">
        <f>IF(BR71&lt;'DADOS DOS EMPREENDIMENTOS'!BT$11,0,IF(BR71='DADOS DOS EMPREENDIMENTOS'!BT$11,SUM(BT$41:BT71)*(1-'DADOS DOS EMPREENDIMENTOS'!#REF!-'DADOS DOS EMPREENDIMENTOS'!#REF!)+'DADOS DOS EMPREENDIMENTOS'!#REF!,IF(BR71='DADOS DOS EMPREENDIMENTOS'!BT$12,'DADOS DOS EMPREENDIMENTOS'!#REF!,BT71*(1-'DADOS DOS EMPREENDIMENTOS'!#REF!-'DADOS DOS EMPREENDIMENTOS'!#REF!))))</f>
        <v>#REF!</v>
      </c>
      <c r="BW71" s="45">
        <v>30</v>
      </c>
      <c r="BX71" s="26">
        <v>40848</v>
      </c>
      <c r="BY71" s="8">
        <v>0</v>
      </c>
      <c r="BZ71" s="56" t="e">
        <f>IF(BW71&lt;'DADOS DOS EMPREENDIMENTOS'!BY$11,0,IF(BW71='DADOS DOS EMPREENDIMENTOS'!BY$11,SUM(BY$41:BY71)*(1-'DADOS DOS EMPREENDIMENTOS'!#REF!-'DADOS DOS EMPREENDIMENTOS'!#REF!)+'DADOS DOS EMPREENDIMENTOS'!#REF!,IF(BW71='DADOS DOS EMPREENDIMENTOS'!BY$12,'DADOS DOS EMPREENDIMENTOS'!#REF!,BY71*(1-'DADOS DOS EMPREENDIMENTOS'!#REF!-'DADOS DOS EMPREENDIMENTOS'!#REF!))))</f>
        <v>#REF!</v>
      </c>
      <c r="CB71" s="45">
        <v>30</v>
      </c>
      <c r="CC71" s="26">
        <v>40848</v>
      </c>
      <c r="CD71" s="8">
        <v>0</v>
      </c>
      <c r="CE71" s="56" t="e">
        <f>IF(CB71&lt;'DADOS DOS EMPREENDIMENTOS'!CD$11,0,IF(CB71='DADOS DOS EMPREENDIMENTOS'!CD$11,SUM(CD$41:CD71)*(1-'DADOS DOS EMPREENDIMENTOS'!#REF!-'DADOS DOS EMPREENDIMENTOS'!#REF!)+'DADOS DOS EMPREENDIMENTOS'!#REF!,IF(CB71='DADOS DOS EMPREENDIMENTOS'!CD$12,'DADOS DOS EMPREENDIMENTOS'!#REF!,CD71*(1-'DADOS DOS EMPREENDIMENTOS'!#REF!-'DADOS DOS EMPREENDIMENTOS'!#REF!))))</f>
        <v>#REF!</v>
      </c>
      <c r="CG71" s="45"/>
      <c r="CH71" s="26"/>
      <c r="CI71" s="8"/>
      <c r="CJ71" s="56"/>
    </row>
    <row r="72" spans="15:88" ht="12.75" customHeight="1" thickBot="1" x14ac:dyDescent="0.25">
      <c r="O72" s="36">
        <v>57</v>
      </c>
      <c r="P72" s="341" t="s">
        <v>278</v>
      </c>
      <c r="Q72" s="344">
        <f>VLOOKUP(P72,Apoio!C:E,2,0)</f>
        <v>242859.4</v>
      </c>
      <c r="R72" s="343">
        <v>240000</v>
      </c>
      <c r="S72" s="206">
        <v>5</v>
      </c>
      <c r="T72" s="45">
        <v>31</v>
      </c>
      <c r="U72" s="26"/>
      <c r="V72" s="8"/>
      <c r="W72" s="56"/>
      <c r="Y72" s="45">
        <v>31</v>
      </c>
      <c r="Z72" s="26"/>
      <c r="AA72" s="8"/>
      <c r="AB72" s="56"/>
      <c r="AD72" s="45">
        <v>31</v>
      </c>
      <c r="AE72" s="26">
        <v>40878</v>
      </c>
      <c r="AF72" s="8">
        <v>0</v>
      </c>
      <c r="AG72" s="56" t="e">
        <f>IF(AD72&lt;'DADOS DOS EMPREENDIMENTOS'!AF$11,0,IF(AD72='DADOS DOS EMPREENDIMENTOS'!AF$11,SUM(AF$41:AF72)*(1-'DADOS DOS EMPREENDIMENTOS'!#REF!-'DADOS DOS EMPREENDIMENTOS'!#REF!)+'DADOS DOS EMPREENDIMENTOS'!#REF!,IF(AD72='DADOS DOS EMPREENDIMENTOS'!#REF!,'DADOS DOS EMPREENDIMENTOS'!#REF!,AF72*(1-'DADOS DOS EMPREENDIMENTOS'!#REF!-'DADOS DOS EMPREENDIMENTOS'!#REF!))))</f>
        <v>#REF!</v>
      </c>
      <c r="AI72" s="45">
        <v>31</v>
      </c>
      <c r="AJ72" s="26">
        <v>40878</v>
      </c>
      <c r="AK72" s="8">
        <v>0</v>
      </c>
      <c r="AL72" s="56" t="e">
        <f>IF(AI72&lt;'DADOS DOS EMPREENDIMENTOS'!AK$11,0,IF(AI72='DADOS DOS EMPREENDIMENTOS'!AK$11,SUM(AK$41:AK72)*(1-'DADOS DOS EMPREENDIMENTOS'!#REF!-'DADOS DOS EMPREENDIMENTOS'!#REF!)+'DADOS DOS EMPREENDIMENTOS'!#REF!,IF(AI72='DADOS DOS EMPREENDIMENTOS'!#REF!,'DADOS DOS EMPREENDIMENTOS'!#REF!,AK72*(1-'DADOS DOS EMPREENDIMENTOS'!#REF!-'DADOS DOS EMPREENDIMENTOS'!#REF!))))</f>
        <v>#REF!</v>
      </c>
      <c r="AN72" s="45">
        <v>31</v>
      </c>
      <c r="AO72" s="26">
        <v>40878</v>
      </c>
      <c r="AP72" s="8">
        <v>0</v>
      </c>
      <c r="AQ72" s="56" t="e">
        <f>IF(AN72&lt;'DADOS DOS EMPREENDIMENTOS'!AP$11,0,IF(AN72='DADOS DOS EMPREENDIMENTOS'!AP$11,SUM(AP$41:AP72)*(1-'DADOS DOS EMPREENDIMENTOS'!#REF!-'DADOS DOS EMPREENDIMENTOS'!#REF!)+'DADOS DOS EMPREENDIMENTOS'!#REF!,IF(AN72='DADOS DOS EMPREENDIMENTOS'!#REF!,'DADOS DOS EMPREENDIMENTOS'!#REF!,AP72*(1-'DADOS DOS EMPREENDIMENTOS'!#REF!-'DADOS DOS EMPREENDIMENTOS'!#REF!))))</f>
        <v>#REF!</v>
      </c>
      <c r="AS72" s="45">
        <v>31</v>
      </c>
      <c r="AT72" s="26">
        <v>40878</v>
      </c>
      <c r="AU72" s="8">
        <v>0</v>
      </c>
      <c r="AV72" s="56" t="e">
        <f>IF(AS72&lt;'DADOS DOS EMPREENDIMENTOS'!AU$11,0,IF(AS72='DADOS DOS EMPREENDIMENTOS'!AU$11,SUM(AU$41:AU72)*(1-'DADOS DOS EMPREENDIMENTOS'!#REF!-'DADOS DOS EMPREENDIMENTOS'!#REF!)+'DADOS DOS EMPREENDIMENTOS'!#REF!,IF(AS72='DADOS DOS EMPREENDIMENTOS'!#REF!,'DADOS DOS EMPREENDIMENTOS'!#REF!,AU72*(1-'DADOS DOS EMPREENDIMENTOS'!#REF!-'DADOS DOS EMPREENDIMENTOS'!#REF!))))</f>
        <v>#REF!</v>
      </c>
      <c r="AX72" s="45">
        <v>31</v>
      </c>
      <c r="AY72" s="26">
        <v>40878</v>
      </c>
      <c r="AZ72" s="8">
        <v>0</v>
      </c>
      <c r="BA72" s="56" t="e">
        <f>IF(AX72&lt;'DADOS DOS EMPREENDIMENTOS'!AZ$11,0,IF(AX72='DADOS DOS EMPREENDIMENTOS'!AZ$11,SUM(AZ$41:AZ72)*(1-'DADOS DOS EMPREENDIMENTOS'!#REF!-'DADOS DOS EMPREENDIMENTOS'!#REF!)+'DADOS DOS EMPREENDIMENTOS'!#REF!,IF(AX72='DADOS DOS EMPREENDIMENTOS'!#REF!,'DADOS DOS EMPREENDIMENTOS'!#REF!,AZ72*(1-'DADOS DOS EMPREENDIMENTOS'!#REF!-'DADOS DOS EMPREENDIMENTOS'!#REF!))))</f>
        <v>#REF!</v>
      </c>
      <c r="BC72" s="45">
        <v>31</v>
      </c>
      <c r="BD72" s="26">
        <v>40878</v>
      </c>
      <c r="BE72" s="8">
        <v>0</v>
      </c>
      <c r="BF72" s="56" t="e">
        <f>IF(BC72&lt;'DADOS DOS EMPREENDIMENTOS'!BE$11,0,IF(BC72='DADOS DOS EMPREENDIMENTOS'!BE$11,SUM(BE$41:BE72)*(1-'DADOS DOS EMPREENDIMENTOS'!#REF!-'DADOS DOS EMPREENDIMENTOS'!#REF!)+'DADOS DOS EMPREENDIMENTOS'!#REF!,IF(BC72='DADOS DOS EMPREENDIMENTOS'!#REF!,'DADOS DOS EMPREENDIMENTOS'!#REF!,BE72*(1-'DADOS DOS EMPREENDIMENTOS'!#REF!-'DADOS DOS EMPREENDIMENTOS'!#REF!))))</f>
        <v>#REF!</v>
      </c>
      <c r="BH72" s="45">
        <v>31</v>
      </c>
      <c r="BI72" s="26">
        <v>40878</v>
      </c>
      <c r="BJ72" s="8">
        <v>0</v>
      </c>
      <c r="BK72" s="56" t="e">
        <f>IF(BH72&lt;'DADOS DOS EMPREENDIMENTOS'!BJ$11,0,IF(BH72='DADOS DOS EMPREENDIMENTOS'!BJ$11,SUM(BJ$41:BJ72)*(1-'DADOS DOS EMPREENDIMENTOS'!#REF!-'DADOS DOS EMPREENDIMENTOS'!#REF!)+'DADOS DOS EMPREENDIMENTOS'!#REF!,IF(BH72='DADOS DOS EMPREENDIMENTOS'!#REF!,'DADOS DOS EMPREENDIMENTOS'!#REF!,BJ72*(1-'DADOS DOS EMPREENDIMENTOS'!#REF!-'DADOS DOS EMPREENDIMENTOS'!#REF!))))</f>
        <v>#REF!</v>
      </c>
      <c r="BM72" s="45">
        <v>31</v>
      </c>
      <c r="BN72" s="26">
        <v>40878</v>
      </c>
      <c r="BO72" s="8">
        <v>0</v>
      </c>
      <c r="BP72" s="56" t="e">
        <f>IF(BM72&lt;'DADOS DOS EMPREENDIMENTOS'!BO$11,0,IF(BM72='DADOS DOS EMPREENDIMENTOS'!BO$11,SUM(BO$41:BO72)*(1-'DADOS DOS EMPREENDIMENTOS'!#REF!-'DADOS DOS EMPREENDIMENTOS'!#REF!)+'DADOS DOS EMPREENDIMENTOS'!#REF!,IF(BM72='DADOS DOS EMPREENDIMENTOS'!BO$12,'DADOS DOS EMPREENDIMENTOS'!#REF!,BO72*(1-'DADOS DOS EMPREENDIMENTOS'!#REF!-'DADOS DOS EMPREENDIMENTOS'!#REF!))))</f>
        <v>#REF!</v>
      </c>
      <c r="BR72" s="45">
        <v>31</v>
      </c>
      <c r="BS72" s="26">
        <v>40878</v>
      </c>
      <c r="BT72" s="8">
        <v>0</v>
      </c>
      <c r="BU72" s="56" t="e">
        <f>IF(BR72&lt;'DADOS DOS EMPREENDIMENTOS'!BT$11,0,IF(BR72='DADOS DOS EMPREENDIMENTOS'!BT$11,SUM(BT$41:BT72)*(1-'DADOS DOS EMPREENDIMENTOS'!#REF!-'DADOS DOS EMPREENDIMENTOS'!#REF!)+'DADOS DOS EMPREENDIMENTOS'!#REF!,IF(BR72='DADOS DOS EMPREENDIMENTOS'!BT$12,'DADOS DOS EMPREENDIMENTOS'!#REF!,BT72*(1-'DADOS DOS EMPREENDIMENTOS'!#REF!-'DADOS DOS EMPREENDIMENTOS'!#REF!))))</f>
        <v>#REF!</v>
      </c>
      <c r="BW72" s="45">
        <v>31</v>
      </c>
      <c r="BX72" s="26">
        <v>40878</v>
      </c>
      <c r="BY72" s="8">
        <v>0</v>
      </c>
      <c r="BZ72" s="56" t="e">
        <f>IF(BW72&lt;'DADOS DOS EMPREENDIMENTOS'!BY$11,0,IF(BW72='DADOS DOS EMPREENDIMENTOS'!BY$11,SUM(BY$41:BY72)*(1-'DADOS DOS EMPREENDIMENTOS'!#REF!-'DADOS DOS EMPREENDIMENTOS'!#REF!)+'DADOS DOS EMPREENDIMENTOS'!#REF!,IF(BW72='DADOS DOS EMPREENDIMENTOS'!BY$12,'DADOS DOS EMPREENDIMENTOS'!#REF!,BY72*(1-'DADOS DOS EMPREENDIMENTOS'!#REF!-'DADOS DOS EMPREENDIMENTOS'!#REF!))))</f>
        <v>#REF!</v>
      </c>
      <c r="CB72" s="45">
        <v>31</v>
      </c>
      <c r="CC72" s="26">
        <v>40878</v>
      </c>
      <c r="CD72" s="8">
        <v>0</v>
      </c>
      <c r="CE72" s="56" t="e">
        <f>IF(CB72&lt;'DADOS DOS EMPREENDIMENTOS'!CD$11,0,IF(CB72='DADOS DOS EMPREENDIMENTOS'!CD$11,SUM(CD$41:CD72)*(1-'DADOS DOS EMPREENDIMENTOS'!#REF!-'DADOS DOS EMPREENDIMENTOS'!#REF!)+'DADOS DOS EMPREENDIMENTOS'!#REF!,IF(CB72='DADOS DOS EMPREENDIMENTOS'!CD$12,'DADOS DOS EMPREENDIMENTOS'!#REF!,CD72*(1-'DADOS DOS EMPREENDIMENTOS'!#REF!-'DADOS DOS EMPREENDIMENTOS'!#REF!))))</f>
        <v>#REF!</v>
      </c>
      <c r="CG72" s="45"/>
      <c r="CH72" s="26"/>
      <c r="CI72" s="8"/>
      <c r="CJ72" s="56"/>
    </row>
    <row r="73" spans="15:88" ht="12.75" customHeight="1" thickBot="1" x14ac:dyDescent="0.25">
      <c r="O73" s="38">
        <v>58</v>
      </c>
      <c r="P73" s="341" t="s">
        <v>279</v>
      </c>
      <c r="Q73" s="344">
        <f>VLOOKUP(P73,Apoio!C:E,2,0)</f>
        <v>242859.4</v>
      </c>
      <c r="R73" s="343">
        <v>240000</v>
      </c>
      <c r="S73" s="206">
        <v>5</v>
      </c>
      <c r="T73" s="45">
        <v>32</v>
      </c>
      <c r="U73" s="26"/>
      <c r="V73" s="8"/>
      <c r="W73" s="56"/>
      <c r="Y73" s="45">
        <v>32</v>
      </c>
      <c r="Z73" s="26"/>
      <c r="AA73" s="8"/>
      <c r="AB73" s="56"/>
      <c r="AD73" s="45">
        <v>32</v>
      </c>
      <c r="AE73" s="26">
        <v>40909</v>
      </c>
      <c r="AF73" s="8">
        <v>0</v>
      </c>
      <c r="AG73" s="56" t="e">
        <f>IF(AD73&lt;'DADOS DOS EMPREENDIMENTOS'!AF$11,0,IF(AD73='DADOS DOS EMPREENDIMENTOS'!AF$11,SUM(AF$41:AF73)*(1-'DADOS DOS EMPREENDIMENTOS'!#REF!-'DADOS DOS EMPREENDIMENTOS'!#REF!)+'DADOS DOS EMPREENDIMENTOS'!#REF!,IF(AD73='DADOS DOS EMPREENDIMENTOS'!#REF!,'DADOS DOS EMPREENDIMENTOS'!#REF!,AF73*(1-'DADOS DOS EMPREENDIMENTOS'!#REF!-'DADOS DOS EMPREENDIMENTOS'!#REF!))))</f>
        <v>#REF!</v>
      </c>
      <c r="AI73" s="45">
        <v>32</v>
      </c>
      <c r="AJ73" s="26">
        <v>40909</v>
      </c>
      <c r="AK73" s="8">
        <v>0</v>
      </c>
      <c r="AL73" s="56" t="e">
        <f>IF(AI73&lt;'DADOS DOS EMPREENDIMENTOS'!AK$11,0,IF(AI73='DADOS DOS EMPREENDIMENTOS'!AK$11,SUM(AK$41:AK73)*(1-'DADOS DOS EMPREENDIMENTOS'!#REF!-'DADOS DOS EMPREENDIMENTOS'!#REF!)+'DADOS DOS EMPREENDIMENTOS'!#REF!,IF(AI73='DADOS DOS EMPREENDIMENTOS'!#REF!,'DADOS DOS EMPREENDIMENTOS'!#REF!,AK73*(1-'DADOS DOS EMPREENDIMENTOS'!#REF!-'DADOS DOS EMPREENDIMENTOS'!#REF!))))</f>
        <v>#REF!</v>
      </c>
      <c r="AN73" s="45">
        <v>32</v>
      </c>
      <c r="AO73" s="26">
        <v>40909</v>
      </c>
      <c r="AP73" s="8">
        <v>0</v>
      </c>
      <c r="AQ73" s="56" t="e">
        <f>IF(AN73&lt;'DADOS DOS EMPREENDIMENTOS'!AP$11,0,IF(AN73='DADOS DOS EMPREENDIMENTOS'!AP$11,SUM(AP$41:AP73)*(1-'DADOS DOS EMPREENDIMENTOS'!#REF!-'DADOS DOS EMPREENDIMENTOS'!#REF!)+'DADOS DOS EMPREENDIMENTOS'!#REF!,IF(AN73='DADOS DOS EMPREENDIMENTOS'!#REF!,'DADOS DOS EMPREENDIMENTOS'!#REF!,AP73*(1-'DADOS DOS EMPREENDIMENTOS'!#REF!-'DADOS DOS EMPREENDIMENTOS'!#REF!))))</f>
        <v>#REF!</v>
      </c>
      <c r="AS73" s="45">
        <v>32</v>
      </c>
      <c r="AT73" s="26">
        <v>40909</v>
      </c>
      <c r="AU73" s="8">
        <v>0</v>
      </c>
      <c r="AV73" s="56" t="e">
        <f>IF(AS73&lt;'DADOS DOS EMPREENDIMENTOS'!AU$11,0,IF(AS73='DADOS DOS EMPREENDIMENTOS'!AU$11,SUM(AU$41:AU73)*(1-'DADOS DOS EMPREENDIMENTOS'!#REF!-'DADOS DOS EMPREENDIMENTOS'!#REF!)+'DADOS DOS EMPREENDIMENTOS'!#REF!,IF(AS73='DADOS DOS EMPREENDIMENTOS'!#REF!,'DADOS DOS EMPREENDIMENTOS'!#REF!,AU73*(1-'DADOS DOS EMPREENDIMENTOS'!#REF!-'DADOS DOS EMPREENDIMENTOS'!#REF!))))</f>
        <v>#REF!</v>
      </c>
      <c r="AX73" s="45">
        <v>32</v>
      </c>
      <c r="AY73" s="26">
        <v>40909</v>
      </c>
      <c r="AZ73" s="8">
        <v>0</v>
      </c>
      <c r="BA73" s="56" t="e">
        <f>IF(AX73&lt;'DADOS DOS EMPREENDIMENTOS'!AZ$11,0,IF(AX73='DADOS DOS EMPREENDIMENTOS'!AZ$11,SUM(AZ$41:AZ73)*(1-'DADOS DOS EMPREENDIMENTOS'!#REF!-'DADOS DOS EMPREENDIMENTOS'!#REF!)+'DADOS DOS EMPREENDIMENTOS'!#REF!,IF(AX73='DADOS DOS EMPREENDIMENTOS'!#REF!,'DADOS DOS EMPREENDIMENTOS'!#REF!,AZ73*(1-'DADOS DOS EMPREENDIMENTOS'!#REF!-'DADOS DOS EMPREENDIMENTOS'!#REF!))))</f>
        <v>#REF!</v>
      </c>
      <c r="BC73" s="45">
        <v>32</v>
      </c>
      <c r="BD73" s="26">
        <v>40909</v>
      </c>
      <c r="BE73" s="8">
        <v>0</v>
      </c>
      <c r="BF73" s="56" t="e">
        <f>IF(BC73&lt;'DADOS DOS EMPREENDIMENTOS'!BE$11,0,IF(BC73='DADOS DOS EMPREENDIMENTOS'!BE$11,SUM(BE$41:BE73)*(1-'DADOS DOS EMPREENDIMENTOS'!#REF!-'DADOS DOS EMPREENDIMENTOS'!#REF!)+'DADOS DOS EMPREENDIMENTOS'!#REF!,IF(BC73='DADOS DOS EMPREENDIMENTOS'!#REF!,'DADOS DOS EMPREENDIMENTOS'!#REF!,BE73*(1-'DADOS DOS EMPREENDIMENTOS'!#REF!-'DADOS DOS EMPREENDIMENTOS'!#REF!))))</f>
        <v>#REF!</v>
      </c>
      <c r="BH73" s="45">
        <v>32</v>
      </c>
      <c r="BI73" s="26">
        <v>40909</v>
      </c>
      <c r="BJ73" s="8">
        <v>0</v>
      </c>
      <c r="BK73" s="56" t="e">
        <f>IF(BH73&lt;'DADOS DOS EMPREENDIMENTOS'!BJ$11,0,IF(BH73='DADOS DOS EMPREENDIMENTOS'!BJ$11,SUM(BJ$41:BJ73)*(1-'DADOS DOS EMPREENDIMENTOS'!#REF!-'DADOS DOS EMPREENDIMENTOS'!#REF!)+'DADOS DOS EMPREENDIMENTOS'!#REF!,IF(BH73='DADOS DOS EMPREENDIMENTOS'!#REF!,'DADOS DOS EMPREENDIMENTOS'!#REF!,BJ73*(1-'DADOS DOS EMPREENDIMENTOS'!#REF!-'DADOS DOS EMPREENDIMENTOS'!#REF!))))</f>
        <v>#REF!</v>
      </c>
      <c r="BM73" s="45">
        <v>32</v>
      </c>
      <c r="BN73" s="26">
        <v>40909</v>
      </c>
      <c r="BO73" s="8">
        <v>0</v>
      </c>
      <c r="BP73" s="56" t="e">
        <f>IF(BM73&lt;'DADOS DOS EMPREENDIMENTOS'!BO$11,0,IF(BM73='DADOS DOS EMPREENDIMENTOS'!BO$11,SUM(BO$41:BO73)*(1-'DADOS DOS EMPREENDIMENTOS'!#REF!-'DADOS DOS EMPREENDIMENTOS'!#REF!)+'DADOS DOS EMPREENDIMENTOS'!#REF!,IF(BM73='DADOS DOS EMPREENDIMENTOS'!BO$12,'DADOS DOS EMPREENDIMENTOS'!#REF!,BO73*(1-'DADOS DOS EMPREENDIMENTOS'!#REF!-'DADOS DOS EMPREENDIMENTOS'!#REF!))))</f>
        <v>#REF!</v>
      </c>
      <c r="BR73" s="45">
        <v>32</v>
      </c>
      <c r="BS73" s="26">
        <v>40909</v>
      </c>
      <c r="BT73" s="8">
        <v>0</v>
      </c>
      <c r="BU73" s="56" t="e">
        <f>IF(BR73&lt;'DADOS DOS EMPREENDIMENTOS'!BT$11,0,IF(BR73='DADOS DOS EMPREENDIMENTOS'!BT$11,SUM(BT$41:BT73)*(1-'DADOS DOS EMPREENDIMENTOS'!#REF!-'DADOS DOS EMPREENDIMENTOS'!#REF!)+'DADOS DOS EMPREENDIMENTOS'!#REF!,IF(BR73='DADOS DOS EMPREENDIMENTOS'!BT$12,'DADOS DOS EMPREENDIMENTOS'!#REF!,BT73*(1-'DADOS DOS EMPREENDIMENTOS'!#REF!-'DADOS DOS EMPREENDIMENTOS'!#REF!))))</f>
        <v>#REF!</v>
      </c>
      <c r="BW73" s="45">
        <v>32</v>
      </c>
      <c r="BX73" s="26">
        <v>40909</v>
      </c>
      <c r="BY73" s="8">
        <v>0</v>
      </c>
      <c r="BZ73" s="56" t="e">
        <f>IF(BW73&lt;'DADOS DOS EMPREENDIMENTOS'!BY$11,0,IF(BW73='DADOS DOS EMPREENDIMENTOS'!BY$11,SUM(BY$41:BY73)*(1-'DADOS DOS EMPREENDIMENTOS'!#REF!-'DADOS DOS EMPREENDIMENTOS'!#REF!)+'DADOS DOS EMPREENDIMENTOS'!#REF!,IF(BW73='DADOS DOS EMPREENDIMENTOS'!BY$12,'DADOS DOS EMPREENDIMENTOS'!#REF!,BY73*(1-'DADOS DOS EMPREENDIMENTOS'!#REF!-'DADOS DOS EMPREENDIMENTOS'!#REF!))))</f>
        <v>#REF!</v>
      </c>
      <c r="CB73" s="45">
        <v>32</v>
      </c>
      <c r="CC73" s="26">
        <v>40909</v>
      </c>
      <c r="CD73" s="8">
        <v>0</v>
      </c>
      <c r="CE73" s="56" t="e">
        <f>IF(CB73&lt;'DADOS DOS EMPREENDIMENTOS'!CD$11,0,IF(CB73='DADOS DOS EMPREENDIMENTOS'!CD$11,SUM(CD$41:CD73)*(1-'DADOS DOS EMPREENDIMENTOS'!#REF!-'DADOS DOS EMPREENDIMENTOS'!#REF!)+'DADOS DOS EMPREENDIMENTOS'!#REF!,IF(CB73='DADOS DOS EMPREENDIMENTOS'!CD$12,'DADOS DOS EMPREENDIMENTOS'!#REF!,CD73*(1-'DADOS DOS EMPREENDIMENTOS'!#REF!-'DADOS DOS EMPREENDIMENTOS'!#REF!))))</f>
        <v>#REF!</v>
      </c>
      <c r="CG73" s="45"/>
      <c r="CH73" s="26"/>
      <c r="CI73" s="8"/>
      <c r="CJ73" s="56"/>
    </row>
    <row r="74" spans="15:88" ht="12.75" customHeight="1" thickBot="1" x14ac:dyDescent="0.25">
      <c r="O74" s="36">
        <v>59</v>
      </c>
      <c r="P74" s="341" t="s">
        <v>280</v>
      </c>
      <c r="Q74" s="344">
        <f>VLOOKUP(P74,Apoio!C:E,2,0)</f>
        <v>240430.3</v>
      </c>
      <c r="R74" s="343">
        <v>240000</v>
      </c>
      <c r="S74" s="206">
        <v>5</v>
      </c>
      <c r="T74" s="45">
        <v>33</v>
      </c>
      <c r="U74" s="26"/>
      <c r="V74" s="8"/>
      <c r="W74" s="56"/>
      <c r="Y74" s="45">
        <v>33</v>
      </c>
      <c r="Z74" s="26"/>
      <c r="AA74" s="8"/>
      <c r="AB74" s="56"/>
      <c r="AD74" s="45">
        <v>33</v>
      </c>
      <c r="AE74" s="26">
        <v>40940</v>
      </c>
      <c r="AF74" s="8">
        <v>0</v>
      </c>
      <c r="AG74" s="56" t="e">
        <f>IF(AD74&lt;'DADOS DOS EMPREENDIMENTOS'!AF$11,0,IF(AD74='DADOS DOS EMPREENDIMENTOS'!AF$11,SUM(AF$41:AF74)*(1-'DADOS DOS EMPREENDIMENTOS'!#REF!-'DADOS DOS EMPREENDIMENTOS'!#REF!)+'DADOS DOS EMPREENDIMENTOS'!#REF!,IF(AD74='DADOS DOS EMPREENDIMENTOS'!#REF!,'DADOS DOS EMPREENDIMENTOS'!#REF!,AF74*(1-'DADOS DOS EMPREENDIMENTOS'!#REF!-'DADOS DOS EMPREENDIMENTOS'!#REF!))))</f>
        <v>#REF!</v>
      </c>
      <c r="AI74" s="45">
        <v>33</v>
      </c>
      <c r="AJ74" s="26">
        <v>40940</v>
      </c>
      <c r="AK74" s="8">
        <v>0</v>
      </c>
      <c r="AL74" s="56" t="e">
        <f>IF(AI74&lt;'DADOS DOS EMPREENDIMENTOS'!AK$11,0,IF(AI74='DADOS DOS EMPREENDIMENTOS'!AK$11,SUM(AK$41:AK74)*(1-'DADOS DOS EMPREENDIMENTOS'!#REF!-'DADOS DOS EMPREENDIMENTOS'!#REF!)+'DADOS DOS EMPREENDIMENTOS'!#REF!,IF(AI74='DADOS DOS EMPREENDIMENTOS'!#REF!,'DADOS DOS EMPREENDIMENTOS'!#REF!,AK74*(1-'DADOS DOS EMPREENDIMENTOS'!#REF!-'DADOS DOS EMPREENDIMENTOS'!#REF!))))</f>
        <v>#REF!</v>
      </c>
      <c r="AN74" s="45">
        <v>33</v>
      </c>
      <c r="AO74" s="26">
        <v>40940</v>
      </c>
      <c r="AP74" s="8">
        <v>0</v>
      </c>
      <c r="AQ74" s="56" t="e">
        <f>IF(AN74&lt;'DADOS DOS EMPREENDIMENTOS'!AP$11,0,IF(AN74='DADOS DOS EMPREENDIMENTOS'!AP$11,SUM(AP$41:AP74)*(1-'DADOS DOS EMPREENDIMENTOS'!#REF!-'DADOS DOS EMPREENDIMENTOS'!#REF!)+'DADOS DOS EMPREENDIMENTOS'!#REF!,IF(AN74='DADOS DOS EMPREENDIMENTOS'!#REF!,'DADOS DOS EMPREENDIMENTOS'!#REF!,AP74*(1-'DADOS DOS EMPREENDIMENTOS'!#REF!-'DADOS DOS EMPREENDIMENTOS'!#REF!))))</f>
        <v>#REF!</v>
      </c>
      <c r="AS74" s="45">
        <v>33</v>
      </c>
      <c r="AT74" s="26">
        <v>40940</v>
      </c>
      <c r="AU74" s="8">
        <v>0</v>
      </c>
      <c r="AV74" s="56" t="e">
        <f>IF(AS74&lt;'DADOS DOS EMPREENDIMENTOS'!AU$11,0,IF(AS74='DADOS DOS EMPREENDIMENTOS'!AU$11,SUM(AU$41:AU74)*(1-'DADOS DOS EMPREENDIMENTOS'!#REF!-'DADOS DOS EMPREENDIMENTOS'!#REF!)+'DADOS DOS EMPREENDIMENTOS'!#REF!,IF(AS74='DADOS DOS EMPREENDIMENTOS'!#REF!,'DADOS DOS EMPREENDIMENTOS'!#REF!,AU74*(1-'DADOS DOS EMPREENDIMENTOS'!#REF!-'DADOS DOS EMPREENDIMENTOS'!#REF!))))</f>
        <v>#REF!</v>
      </c>
      <c r="AX74" s="45">
        <v>33</v>
      </c>
      <c r="AY74" s="26">
        <v>40940</v>
      </c>
      <c r="AZ74" s="8">
        <v>0</v>
      </c>
      <c r="BA74" s="56" t="e">
        <f>IF(AX74&lt;'DADOS DOS EMPREENDIMENTOS'!AZ$11,0,IF(AX74='DADOS DOS EMPREENDIMENTOS'!AZ$11,SUM(AZ$41:AZ74)*(1-'DADOS DOS EMPREENDIMENTOS'!#REF!-'DADOS DOS EMPREENDIMENTOS'!#REF!)+'DADOS DOS EMPREENDIMENTOS'!#REF!,IF(AX74='DADOS DOS EMPREENDIMENTOS'!#REF!,'DADOS DOS EMPREENDIMENTOS'!#REF!,AZ74*(1-'DADOS DOS EMPREENDIMENTOS'!#REF!-'DADOS DOS EMPREENDIMENTOS'!#REF!))))</f>
        <v>#REF!</v>
      </c>
      <c r="BC74" s="45">
        <v>33</v>
      </c>
      <c r="BD74" s="26">
        <v>40940</v>
      </c>
      <c r="BE74" s="8">
        <v>0</v>
      </c>
      <c r="BF74" s="56" t="e">
        <f>IF(BC74&lt;'DADOS DOS EMPREENDIMENTOS'!BE$11,0,IF(BC74='DADOS DOS EMPREENDIMENTOS'!BE$11,SUM(BE$41:BE74)*(1-'DADOS DOS EMPREENDIMENTOS'!#REF!-'DADOS DOS EMPREENDIMENTOS'!#REF!)+'DADOS DOS EMPREENDIMENTOS'!#REF!,IF(BC74='DADOS DOS EMPREENDIMENTOS'!#REF!,'DADOS DOS EMPREENDIMENTOS'!#REF!,BE74*(1-'DADOS DOS EMPREENDIMENTOS'!#REF!-'DADOS DOS EMPREENDIMENTOS'!#REF!))))</f>
        <v>#REF!</v>
      </c>
      <c r="BH74" s="45">
        <v>33</v>
      </c>
      <c r="BI74" s="26">
        <v>40940</v>
      </c>
      <c r="BJ74" s="8">
        <v>0</v>
      </c>
      <c r="BK74" s="56" t="e">
        <f>IF(BH74&lt;'DADOS DOS EMPREENDIMENTOS'!BJ$11,0,IF(BH74='DADOS DOS EMPREENDIMENTOS'!BJ$11,SUM(BJ$41:BJ74)*(1-'DADOS DOS EMPREENDIMENTOS'!#REF!-'DADOS DOS EMPREENDIMENTOS'!#REF!)+'DADOS DOS EMPREENDIMENTOS'!#REF!,IF(BH74='DADOS DOS EMPREENDIMENTOS'!#REF!,'DADOS DOS EMPREENDIMENTOS'!#REF!,BJ74*(1-'DADOS DOS EMPREENDIMENTOS'!#REF!-'DADOS DOS EMPREENDIMENTOS'!#REF!))))</f>
        <v>#REF!</v>
      </c>
      <c r="BM74" s="45">
        <v>33</v>
      </c>
      <c r="BN74" s="26">
        <v>40940</v>
      </c>
      <c r="BO74" s="8">
        <v>0</v>
      </c>
      <c r="BP74" s="56" t="e">
        <f>IF(BM74&lt;'DADOS DOS EMPREENDIMENTOS'!BO$11,0,IF(BM74='DADOS DOS EMPREENDIMENTOS'!BO$11,SUM(BO$41:BO74)*(1-'DADOS DOS EMPREENDIMENTOS'!#REF!-'DADOS DOS EMPREENDIMENTOS'!#REF!)+'DADOS DOS EMPREENDIMENTOS'!#REF!,IF(BM74='DADOS DOS EMPREENDIMENTOS'!BO$12,'DADOS DOS EMPREENDIMENTOS'!#REF!,BO74*(1-'DADOS DOS EMPREENDIMENTOS'!#REF!-'DADOS DOS EMPREENDIMENTOS'!#REF!))))</f>
        <v>#REF!</v>
      </c>
      <c r="BR74" s="45">
        <v>33</v>
      </c>
      <c r="BS74" s="26">
        <v>40940</v>
      </c>
      <c r="BT74" s="8">
        <v>0</v>
      </c>
      <c r="BU74" s="56" t="e">
        <f>IF(BR74&lt;'DADOS DOS EMPREENDIMENTOS'!BT$11,0,IF(BR74='DADOS DOS EMPREENDIMENTOS'!BT$11,SUM(BT$41:BT74)*(1-'DADOS DOS EMPREENDIMENTOS'!#REF!-'DADOS DOS EMPREENDIMENTOS'!#REF!)+'DADOS DOS EMPREENDIMENTOS'!#REF!,IF(BR74='DADOS DOS EMPREENDIMENTOS'!BT$12,'DADOS DOS EMPREENDIMENTOS'!#REF!,BT74*(1-'DADOS DOS EMPREENDIMENTOS'!#REF!-'DADOS DOS EMPREENDIMENTOS'!#REF!))))</f>
        <v>#REF!</v>
      </c>
      <c r="BW74" s="45">
        <v>33</v>
      </c>
      <c r="BX74" s="26">
        <v>40940</v>
      </c>
      <c r="BY74" s="8">
        <v>0</v>
      </c>
      <c r="BZ74" s="56" t="e">
        <f>IF(BW74&lt;'DADOS DOS EMPREENDIMENTOS'!BY$11,0,IF(BW74='DADOS DOS EMPREENDIMENTOS'!BY$11,SUM(BY$41:BY74)*(1-'DADOS DOS EMPREENDIMENTOS'!#REF!-'DADOS DOS EMPREENDIMENTOS'!#REF!)+'DADOS DOS EMPREENDIMENTOS'!#REF!,IF(BW74='DADOS DOS EMPREENDIMENTOS'!BY$12,'DADOS DOS EMPREENDIMENTOS'!#REF!,BY74*(1-'DADOS DOS EMPREENDIMENTOS'!#REF!-'DADOS DOS EMPREENDIMENTOS'!#REF!))))</f>
        <v>#REF!</v>
      </c>
      <c r="CB74" s="45">
        <v>33</v>
      </c>
      <c r="CC74" s="26">
        <v>40940</v>
      </c>
      <c r="CD74" s="8">
        <v>0</v>
      </c>
      <c r="CE74" s="56" t="e">
        <f>IF(CB74&lt;'DADOS DOS EMPREENDIMENTOS'!CD$11,0,IF(CB74='DADOS DOS EMPREENDIMENTOS'!CD$11,SUM(CD$41:CD74)*(1-'DADOS DOS EMPREENDIMENTOS'!#REF!-'DADOS DOS EMPREENDIMENTOS'!#REF!)+'DADOS DOS EMPREENDIMENTOS'!#REF!,IF(CB74='DADOS DOS EMPREENDIMENTOS'!CD$12,'DADOS DOS EMPREENDIMENTOS'!#REF!,CD74*(1-'DADOS DOS EMPREENDIMENTOS'!#REF!-'DADOS DOS EMPREENDIMENTOS'!#REF!))))</f>
        <v>#REF!</v>
      </c>
      <c r="CG74" s="45"/>
      <c r="CH74" s="26"/>
      <c r="CI74" s="8"/>
      <c r="CJ74" s="56"/>
    </row>
    <row r="75" spans="15:88" ht="12.75" customHeight="1" thickBot="1" x14ac:dyDescent="0.25">
      <c r="O75" s="38">
        <v>60</v>
      </c>
      <c r="P75" s="341" t="s">
        <v>281</v>
      </c>
      <c r="Q75" s="344">
        <f>VLOOKUP(P75,Apoio!C:E,2,0)</f>
        <v>240935.1</v>
      </c>
      <c r="R75" s="343">
        <v>226000</v>
      </c>
      <c r="S75" s="206">
        <v>5</v>
      </c>
      <c r="T75" s="45">
        <v>34</v>
      </c>
      <c r="U75" s="26"/>
      <c r="V75" s="8"/>
      <c r="W75" s="56"/>
      <c r="Y75" s="45">
        <v>34</v>
      </c>
      <c r="Z75" s="26"/>
      <c r="AA75" s="8"/>
      <c r="AB75" s="56"/>
      <c r="AD75" s="45">
        <v>34</v>
      </c>
      <c r="AE75" s="26">
        <v>40969</v>
      </c>
      <c r="AF75" s="8">
        <v>0</v>
      </c>
      <c r="AG75" s="56" t="e">
        <f>IF(AD75&lt;'DADOS DOS EMPREENDIMENTOS'!AF$11,0,IF(AD75='DADOS DOS EMPREENDIMENTOS'!AF$11,SUM(AF$41:AF75)*(1-'DADOS DOS EMPREENDIMENTOS'!#REF!-'DADOS DOS EMPREENDIMENTOS'!#REF!)+'DADOS DOS EMPREENDIMENTOS'!#REF!,IF(AD75='DADOS DOS EMPREENDIMENTOS'!#REF!,'DADOS DOS EMPREENDIMENTOS'!#REF!,AF75*(1-'DADOS DOS EMPREENDIMENTOS'!#REF!-'DADOS DOS EMPREENDIMENTOS'!#REF!))))</f>
        <v>#REF!</v>
      </c>
      <c r="AI75" s="45">
        <v>34</v>
      </c>
      <c r="AJ75" s="26">
        <v>40969</v>
      </c>
      <c r="AK75" s="8">
        <v>0</v>
      </c>
      <c r="AL75" s="56" t="e">
        <f>IF(AI75&lt;'DADOS DOS EMPREENDIMENTOS'!AK$11,0,IF(AI75='DADOS DOS EMPREENDIMENTOS'!AK$11,SUM(AK$41:AK75)*(1-'DADOS DOS EMPREENDIMENTOS'!#REF!-'DADOS DOS EMPREENDIMENTOS'!#REF!)+'DADOS DOS EMPREENDIMENTOS'!#REF!,IF(AI75='DADOS DOS EMPREENDIMENTOS'!#REF!,'DADOS DOS EMPREENDIMENTOS'!#REF!,AK75*(1-'DADOS DOS EMPREENDIMENTOS'!#REF!-'DADOS DOS EMPREENDIMENTOS'!#REF!))))</f>
        <v>#REF!</v>
      </c>
      <c r="AN75" s="45">
        <v>34</v>
      </c>
      <c r="AO75" s="26">
        <v>40969</v>
      </c>
      <c r="AP75" s="8">
        <v>0</v>
      </c>
      <c r="AQ75" s="56" t="e">
        <f>IF(AN75&lt;'DADOS DOS EMPREENDIMENTOS'!AP$11,0,IF(AN75='DADOS DOS EMPREENDIMENTOS'!AP$11,SUM(AP$41:AP75)*(1-'DADOS DOS EMPREENDIMENTOS'!#REF!-'DADOS DOS EMPREENDIMENTOS'!#REF!)+'DADOS DOS EMPREENDIMENTOS'!#REF!,IF(AN75='DADOS DOS EMPREENDIMENTOS'!#REF!,'DADOS DOS EMPREENDIMENTOS'!#REF!,AP75*(1-'DADOS DOS EMPREENDIMENTOS'!#REF!-'DADOS DOS EMPREENDIMENTOS'!#REF!))))</f>
        <v>#REF!</v>
      </c>
      <c r="AS75" s="45">
        <v>34</v>
      </c>
      <c r="AT75" s="26">
        <v>40969</v>
      </c>
      <c r="AU75" s="8">
        <v>0</v>
      </c>
      <c r="AV75" s="56" t="e">
        <f>IF(AS75&lt;'DADOS DOS EMPREENDIMENTOS'!AU$11,0,IF(AS75='DADOS DOS EMPREENDIMENTOS'!AU$11,SUM(AU$41:AU75)*(1-'DADOS DOS EMPREENDIMENTOS'!#REF!-'DADOS DOS EMPREENDIMENTOS'!#REF!)+'DADOS DOS EMPREENDIMENTOS'!#REF!,IF(AS75='DADOS DOS EMPREENDIMENTOS'!#REF!,'DADOS DOS EMPREENDIMENTOS'!#REF!,AU75*(1-'DADOS DOS EMPREENDIMENTOS'!#REF!-'DADOS DOS EMPREENDIMENTOS'!#REF!))))</f>
        <v>#REF!</v>
      </c>
      <c r="AX75" s="45">
        <v>34</v>
      </c>
      <c r="AY75" s="26">
        <v>40969</v>
      </c>
      <c r="AZ75" s="8">
        <v>0</v>
      </c>
      <c r="BA75" s="56" t="e">
        <f>IF(AX75&lt;'DADOS DOS EMPREENDIMENTOS'!AZ$11,0,IF(AX75='DADOS DOS EMPREENDIMENTOS'!AZ$11,SUM(AZ$41:AZ75)*(1-'DADOS DOS EMPREENDIMENTOS'!#REF!-'DADOS DOS EMPREENDIMENTOS'!#REF!)+'DADOS DOS EMPREENDIMENTOS'!#REF!,IF(AX75='DADOS DOS EMPREENDIMENTOS'!#REF!,'DADOS DOS EMPREENDIMENTOS'!#REF!,AZ75*(1-'DADOS DOS EMPREENDIMENTOS'!#REF!-'DADOS DOS EMPREENDIMENTOS'!#REF!))))</f>
        <v>#REF!</v>
      </c>
      <c r="BC75" s="45">
        <v>34</v>
      </c>
      <c r="BD75" s="26">
        <v>40969</v>
      </c>
      <c r="BE75" s="8">
        <v>0</v>
      </c>
      <c r="BF75" s="56" t="e">
        <f>IF(BC75&lt;'DADOS DOS EMPREENDIMENTOS'!BE$11,0,IF(BC75='DADOS DOS EMPREENDIMENTOS'!BE$11,SUM(BE$41:BE75)*(1-'DADOS DOS EMPREENDIMENTOS'!#REF!-'DADOS DOS EMPREENDIMENTOS'!#REF!)+'DADOS DOS EMPREENDIMENTOS'!#REF!,IF(BC75='DADOS DOS EMPREENDIMENTOS'!#REF!,'DADOS DOS EMPREENDIMENTOS'!#REF!,BE75*(1-'DADOS DOS EMPREENDIMENTOS'!#REF!-'DADOS DOS EMPREENDIMENTOS'!#REF!))))</f>
        <v>#REF!</v>
      </c>
      <c r="BH75" s="45">
        <v>34</v>
      </c>
      <c r="BI75" s="26">
        <v>40969</v>
      </c>
      <c r="BJ75" s="8">
        <v>0</v>
      </c>
      <c r="BK75" s="56" t="e">
        <f>IF(BH75&lt;'DADOS DOS EMPREENDIMENTOS'!BJ$11,0,IF(BH75='DADOS DOS EMPREENDIMENTOS'!BJ$11,SUM(BJ$41:BJ75)*(1-'DADOS DOS EMPREENDIMENTOS'!#REF!-'DADOS DOS EMPREENDIMENTOS'!#REF!)+'DADOS DOS EMPREENDIMENTOS'!#REF!,IF(BH75='DADOS DOS EMPREENDIMENTOS'!#REF!,'DADOS DOS EMPREENDIMENTOS'!#REF!,BJ75*(1-'DADOS DOS EMPREENDIMENTOS'!#REF!-'DADOS DOS EMPREENDIMENTOS'!#REF!))))</f>
        <v>#REF!</v>
      </c>
      <c r="BM75" s="45">
        <v>34</v>
      </c>
      <c r="BN75" s="26">
        <v>40969</v>
      </c>
      <c r="BO75" s="8">
        <v>0</v>
      </c>
      <c r="BP75" s="56" t="e">
        <f>IF(BM75&lt;'DADOS DOS EMPREENDIMENTOS'!BO$11,0,IF(BM75='DADOS DOS EMPREENDIMENTOS'!BO$11,SUM(BO$41:BO75)*(1-'DADOS DOS EMPREENDIMENTOS'!#REF!-'DADOS DOS EMPREENDIMENTOS'!#REF!)+'DADOS DOS EMPREENDIMENTOS'!#REF!,IF(BM75='DADOS DOS EMPREENDIMENTOS'!BO$12,'DADOS DOS EMPREENDIMENTOS'!#REF!,BO75*(1-'DADOS DOS EMPREENDIMENTOS'!#REF!-'DADOS DOS EMPREENDIMENTOS'!#REF!))))</f>
        <v>#REF!</v>
      </c>
      <c r="BR75" s="45">
        <v>34</v>
      </c>
      <c r="BS75" s="26">
        <v>40969</v>
      </c>
      <c r="BT75" s="8">
        <v>0</v>
      </c>
      <c r="BU75" s="56" t="e">
        <f>IF(BR75&lt;'DADOS DOS EMPREENDIMENTOS'!BT$11,0,IF(BR75='DADOS DOS EMPREENDIMENTOS'!BT$11,SUM(BT$41:BT75)*(1-'DADOS DOS EMPREENDIMENTOS'!#REF!-'DADOS DOS EMPREENDIMENTOS'!#REF!)+'DADOS DOS EMPREENDIMENTOS'!#REF!,IF(BR75='DADOS DOS EMPREENDIMENTOS'!BT$12,'DADOS DOS EMPREENDIMENTOS'!#REF!,BT75*(1-'DADOS DOS EMPREENDIMENTOS'!#REF!-'DADOS DOS EMPREENDIMENTOS'!#REF!))))</f>
        <v>#REF!</v>
      </c>
      <c r="BW75" s="45">
        <v>34</v>
      </c>
      <c r="BX75" s="26">
        <v>40969</v>
      </c>
      <c r="BY75" s="8">
        <v>0</v>
      </c>
      <c r="BZ75" s="56" t="e">
        <f>IF(BW75&lt;'DADOS DOS EMPREENDIMENTOS'!BY$11,0,IF(BW75='DADOS DOS EMPREENDIMENTOS'!BY$11,SUM(BY$41:BY75)*(1-'DADOS DOS EMPREENDIMENTOS'!#REF!-'DADOS DOS EMPREENDIMENTOS'!#REF!)+'DADOS DOS EMPREENDIMENTOS'!#REF!,IF(BW75='DADOS DOS EMPREENDIMENTOS'!BY$12,'DADOS DOS EMPREENDIMENTOS'!#REF!,BY75*(1-'DADOS DOS EMPREENDIMENTOS'!#REF!-'DADOS DOS EMPREENDIMENTOS'!#REF!))))</f>
        <v>#REF!</v>
      </c>
      <c r="CB75" s="45">
        <v>34</v>
      </c>
      <c r="CC75" s="26">
        <v>40969</v>
      </c>
      <c r="CD75" s="8">
        <v>0</v>
      </c>
      <c r="CE75" s="56" t="e">
        <f>IF(CB75&lt;'DADOS DOS EMPREENDIMENTOS'!CD$11,0,IF(CB75='DADOS DOS EMPREENDIMENTOS'!CD$11,SUM(CD$41:CD75)*(1-'DADOS DOS EMPREENDIMENTOS'!#REF!-'DADOS DOS EMPREENDIMENTOS'!#REF!)+'DADOS DOS EMPREENDIMENTOS'!#REF!,IF(CB75='DADOS DOS EMPREENDIMENTOS'!CD$12,'DADOS DOS EMPREENDIMENTOS'!#REF!,CD75*(1-'DADOS DOS EMPREENDIMENTOS'!#REF!-'DADOS DOS EMPREENDIMENTOS'!#REF!))))</f>
        <v>#REF!</v>
      </c>
      <c r="CG75" s="45"/>
      <c r="CH75" s="26"/>
      <c r="CI75" s="8"/>
      <c r="CJ75" s="56"/>
    </row>
    <row r="76" spans="15:88" ht="12.75" customHeight="1" thickBot="1" x14ac:dyDescent="0.25">
      <c r="O76" s="36">
        <v>61</v>
      </c>
      <c r="P76" s="341" t="s">
        <v>282</v>
      </c>
      <c r="Q76" s="344">
        <f>VLOOKUP(P76,Apoio!C:E,2,0)</f>
        <v>240935.1</v>
      </c>
      <c r="R76" s="343">
        <v>223000</v>
      </c>
      <c r="S76" s="206">
        <v>5</v>
      </c>
      <c r="T76" s="45">
        <v>35</v>
      </c>
      <c r="U76" s="26"/>
      <c r="V76" s="8"/>
      <c r="W76" s="56"/>
      <c r="Y76" s="45">
        <v>35</v>
      </c>
      <c r="Z76" s="26"/>
      <c r="AA76" s="8"/>
      <c r="AB76" s="56"/>
      <c r="AD76" s="45">
        <v>35</v>
      </c>
      <c r="AE76" s="26">
        <v>41000</v>
      </c>
      <c r="AF76" s="8">
        <v>0</v>
      </c>
      <c r="AG76" s="56" t="e">
        <f>IF(AD76&lt;'DADOS DOS EMPREENDIMENTOS'!AF$11,0,IF(AD76='DADOS DOS EMPREENDIMENTOS'!AF$11,SUM(AF$41:AF76)*(1-'DADOS DOS EMPREENDIMENTOS'!#REF!-'DADOS DOS EMPREENDIMENTOS'!#REF!)+'DADOS DOS EMPREENDIMENTOS'!#REF!,IF(AD76='DADOS DOS EMPREENDIMENTOS'!#REF!,'DADOS DOS EMPREENDIMENTOS'!#REF!,AF76*(1-'DADOS DOS EMPREENDIMENTOS'!#REF!-'DADOS DOS EMPREENDIMENTOS'!#REF!))))</f>
        <v>#REF!</v>
      </c>
      <c r="AI76" s="45">
        <v>35</v>
      </c>
      <c r="AJ76" s="26">
        <v>41000</v>
      </c>
      <c r="AK76" s="8">
        <v>0</v>
      </c>
      <c r="AL76" s="56" t="e">
        <f>IF(AI76&lt;'DADOS DOS EMPREENDIMENTOS'!AK$11,0,IF(AI76='DADOS DOS EMPREENDIMENTOS'!AK$11,SUM(AK$41:AK76)*(1-'DADOS DOS EMPREENDIMENTOS'!#REF!-'DADOS DOS EMPREENDIMENTOS'!#REF!)+'DADOS DOS EMPREENDIMENTOS'!#REF!,IF(AI76='DADOS DOS EMPREENDIMENTOS'!#REF!,'DADOS DOS EMPREENDIMENTOS'!#REF!,AK76*(1-'DADOS DOS EMPREENDIMENTOS'!#REF!-'DADOS DOS EMPREENDIMENTOS'!#REF!))))</f>
        <v>#REF!</v>
      </c>
      <c r="AN76" s="45">
        <v>35</v>
      </c>
      <c r="AO76" s="26">
        <v>41000</v>
      </c>
      <c r="AP76" s="8">
        <v>0</v>
      </c>
      <c r="AQ76" s="56" t="e">
        <f>IF(AN76&lt;'DADOS DOS EMPREENDIMENTOS'!AP$11,0,IF(AN76='DADOS DOS EMPREENDIMENTOS'!AP$11,SUM(AP$41:AP76)*(1-'DADOS DOS EMPREENDIMENTOS'!#REF!-'DADOS DOS EMPREENDIMENTOS'!#REF!)+'DADOS DOS EMPREENDIMENTOS'!#REF!,IF(AN76='DADOS DOS EMPREENDIMENTOS'!#REF!,'DADOS DOS EMPREENDIMENTOS'!#REF!,AP76*(1-'DADOS DOS EMPREENDIMENTOS'!#REF!-'DADOS DOS EMPREENDIMENTOS'!#REF!))))</f>
        <v>#REF!</v>
      </c>
      <c r="AS76" s="45">
        <v>35</v>
      </c>
      <c r="AT76" s="26">
        <v>41000</v>
      </c>
      <c r="AU76" s="8">
        <v>0</v>
      </c>
      <c r="AV76" s="56" t="e">
        <f>IF(AS76&lt;'DADOS DOS EMPREENDIMENTOS'!AU$11,0,IF(AS76='DADOS DOS EMPREENDIMENTOS'!AU$11,SUM(AU$41:AU76)*(1-'DADOS DOS EMPREENDIMENTOS'!#REF!-'DADOS DOS EMPREENDIMENTOS'!#REF!)+'DADOS DOS EMPREENDIMENTOS'!#REF!,IF(AS76='DADOS DOS EMPREENDIMENTOS'!#REF!,'DADOS DOS EMPREENDIMENTOS'!#REF!,AU76*(1-'DADOS DOS EMPREENDIMENTOS'!#REF!-'DADOS DOS EMPREENDIMENTOS'!#REF!))))</f>
        <v>#REF!</v>
      </c>
      <c r="AX76" s="45">
        <v>35</v>
      </c>
      <c r="AY76" s="26">
        <v>41000</v>
      </c>
      <c r="AZ76" s="8">
        <v>0</v>
      </c>
      <c r="BA76" s="56" t="e">
        <f>IF(AX76&lt;'DADOS DOS EMPREENDIMENTOS'!AZ$11,0,IF(AX76='DADOS DOS EMPREENDIMENTOS'!AZ$11,SUM(AZ$41:AZ76)*(1-'DADOS DOS EMPREENDIMENTOS'!#REF!-'DADOS DOS EMPREENDIMENTOS'!#REF!)+'DADOS DOS EMPREENDIMENTOS'!#REF!,IF(AX76='DADOS DOS EMPREENDIMENTOS'!#REF!,'DADOS DOS EMPREENDIMENTOS'!#REF!,AZ76*(1-'DADOS DOS EMPREENDIMENTOS'!#REF!-'DADOS DOS EMPREENDIMENTOS'!#REF!))))</f>
        <v>#REF!</v>
      </c>
      <c r="BC76" s="45">
        <v>35</v>
      </c>
      <c r="BD76" s="26">
        <v>41000</v>
      </c>
      <c r="BE76" s="8">
        <v>0</v>
      </c>
      <c r="BF76" s="56" t="e">
        <f>IF(BC76&lt;'DADOS DOS EMPREENDIMENTOS'!BE$11,0,IF(BC76='DADOS DOS EMPREENDIMENTOS'!BE$11,SUM(BE$41:BE76)*(1-'DADOS DOS EMPREENDIMENTOS'!#REF!-'DADOS DOS EMPREENDIMENTOS'!#REF!)+'DADOS DOS EMPREENDIMENTOS'!#REF!,IF(BC76='DADOS DOS EMPREENDIMENTOS'!#REF!,'DADOS DOS EMPREENDIMENTOS'!#REF!,BE76*(1-'DADOS DOS EMPREENDIMENTOS'!#REF!-'DADOS DOS EMPREENDIMENTOS'!#REF!))))</f>
        <v>#REF!</v>
      </c>
      <c r="BH76" s="45">
        <v>35</v>
      </c>
      <c r="BI76" s="26">
        <v>41000</v>
      </c>
      <c r="BJ76" s="8">
        <v>0</v>
      </c>
      <c r="BK76" s="56" t="e">
        <f>IF(BH76&lt;'DADOS DOS EMPREENDIMENTOS'!BJ$11,0,IF(BH76='DADOS DOS EMPREENDIMENTOS'!BJ$11,SUM(BJ$41:BJ76)*(1-'DADOS DOS EMPREENDIMENTOS'!#REF!-'DADOS DOS EMPREENDIMENTOS'!#REF!)+'DADOS DOS EMPREENDIMENTOS'!#REF!,IF(BH76='DADOS DOS EMPREENDIMENTOS'!#REF!,'DADOS DOS EMPREENDIMENTOS'!#REF!,BJ76*(1-'DADOS DOS EMPREENDIMENTOS'!#REF!-'DADOS DOS EMPREENDIMENTOS'!#REF!))))</f>
        <v>#REF!</v>
      </c>
      <c r="BM76" s="45">
        <v>35</v>
      </c>
      <c r="BN76" s="26">
        <v>41000</v>
      </c>
      <c r="BO76" s="8">
        <v>0</v>
      </c>
      <c r="BP76" s="56" t="e">
        <f>IF(BM76&lt;'DADOS DOS EMPREENDIMENTOS'!BO$11,0,IF(BM76='DADOS DOS EMPREENDIMENTOS'!BO$11,SUM(BO$41:BO76)*(1-'DADOS DOS EMPREENDIMENTOS'!#REF!-'DADOS DOS EMPREENDIMENTOS'!#REF!)+'DADOS DOS EMPREENDIMENTOS'!#REF!,IF(BM76='DADOS DOS EMPREENDIMENTOS'!BO$12,'DADOS DOS EMPREENDIMENTOS'!#REF!,BO76*(1-'DADOS DOS EMPREENDIMENTOS'!#REF!-'DADOS DOS EMPREENDIMENTOS'!#REF!))))</f>
        <v>#REF!</v>
      </c>
      <c r="BR76" s="45">
        <v>35</v>
      </c>
      <c r="BS76" s="26">
        <v>41000</v>
      </c>
      <c r="BT76" s="8">
        <v>0</v>
      </c>
      <c r="BU76" s="56" t="e">
        <f>IF(BR76&lt;'DADOS DOS EMPREENDIMENTOS'!BT$11,0,IF(BR76='DADOS DOS EMPREENDIMENTOS'!BT$11,SUM(BT$41:BT76)*(1-'DADOS DOS EMPREENDIMENTOS'!#REF!-'DADOS DOS EMPREENDIMENTOS'!#REF!)+'DADOS DOS EMPREENDIMENTOS'!#REF!,IF(BR76='DADOS DOS EMPREENDIMENTOS'!BT$12,'DADOS DOS EMPREENDIMENTOS'!#REF!,BT76*(1-'DADOS DOS EMPREENDIMENTOS'!#REF!-'DADOS DOS EMPREENDIMENTOS'!#REF!))))</f>
        <v>#REF!</v>
      </c>
      <c r="BW76" s="45">
        <v>35</v>
      </c>
      <c r="BX76" s="26">
        <v>41000</v>
      </c>
      <c r="BY76" s="8">
        <v>0</v>
      </c>
      <c r="BZ76" s="56" t="e">
        <f>IF(BW76&lt;'DADOS DOS EMPREENDIMENTOS'!BY$11,0,IF(BW76='DADOS DOS EMPREENDIMENTOS'!BY$11,SUM(BY$41:BY76)*(1-'DADOS DOS EMPREENDIMENTOS'!#REF!-'DADOS DOS EMPREENDIMENTOS'!#REF!)+'DADOS DOS EMPREENDIMENTOS'!#REF!,IF(BW76='DADOS DOS EMPREENDIMENTOS'!BY$12,'DADOS DOS EMPREENDIMENTOS'!#REF!,BY76*(1-'DADOS DOS EMPREENDIMENTOS'!#REF!-'DADOS DOS EMPREENDIMENTOS'!#REF!))))</f>
        <v>#REF!</v>
      </c>
      <c r="CB76" s="45">
        <v>35</v>
      </c>
      <c r="CC76" s="26">
        <v>41000</v>
      </c>
      <c r="CD76" s="8">
        <v>0</v>
      </c>
      <c r="CE76" s="56" t="e">
        <f>IF(CB76&lt;'DADOS DOS EMPREENDIMENTOS'!CD$11,0,IF(CB76='DADOS DOS EMPREENDIMENTOS'!CD$11,SUM(CD$41:CD76)*(1-'DADOS DOS EMPREENDIMENTOS'!#REF!-'DADOS DOS EMPREENDIMENTOS'!#REF!)+'DADOS DOS EMPREENDIMENTOS'!#REF!,IF(CB76='DADOS DOS EMPREENDIMENTOS'!CD$12,'DADOS DOS EMPREENDIMENTOS'!#REF!,CD76*(1-'DADOS DOS EMPREENDIMENTOS'!#REF!-'DADOS DOS EMPREENDIMENTOS'!#REF!))))</f>
        <v>#REF!</v>
      </c>
      <c r="CG76" s="45"/>
      <c r="CH76" s="26"/>
      <c r="CI76" s="8"/>
      <c r="CJ76" s="56"/>
    </row>
    <row r="77" spans="15:88" ht="12.75" customHeight="1" thickBot="1" x14ac:dyDescent="0.25">
      <c r="O77" s="38">
        <v>62</v>
      </c>
      <c r="P77" s="341" t="s">
        <v>283</v>
      </c>
      <c r="Q77" s="344">
        <f>VLOOKUP(P77,Apoio!C:E,2,0)</f>
        <v>240430.3</v>
      </c>
      <c r="R77" s="343">
        <v>240000</v>
      </c>
      <c r="S77" s="206">
        <v>5</v>
      </c>
      <c r="T77" s="45">
        <v>36</v>
      </c>
      <c r="U77" s="26"/>
      <c r="V77" s="8"/>
      <c r="W77" s="56"/>
      <c r="Y77" s="45">
        <v>36</v>
      </c>
      <c r="Z77" s="26"/>
      <c r="AA77" s="8"/>
      <c r="AB77" s="56"/>
      <c r="AD77" s="45">
        <v>36</v>
      </c>
      <c r="AE77" s="26">
        <v>41030</v>
      </c>
      <c r="AF77" s="8">
        <v>0</v>
      </c>
      <c r="AG77" s="56" t="e">
        <f>IF(AD77&lt;'DADOS DOS EMPREENDIMENTOS'!AF$11,0,IF(AD77='DADOS DOS EMPREENDIMENTOS'!AF$11,SUM(AF$41:AF77)*(1-'DADOS DOS EMPREENDIMENTOS'!#REF!-'DADOS DOS EMPREENDIMENTOS'!#REF!)+'DADOS DOS EMPREENDIMENTOS'!#REF!,IF(AD77='DADOS DOS EMPREENDIMENTOS'!#REF!,'DADOS DOS EMPREENDIMENTOS'!#REF!,AF77*(1-'DADOS DOS EMPREENDIMENTOS'!#REF!-'DADOS DOS EMPREENDIMENTOS'!#REF!))))</f>
        <v>#REF!</v>
      </c>
      <c r="AI77" s="45">
        <v>36</v>
      </c>
      <c r="AJ77" s="26">
        <v>41030</v>
      </c>
      <c r="AK77" s="8">
        <v>0</v>
      </c>
      <c r="AL77" s="56" t="e">
        <f>IF(AI77&lt;'DADOS DOS EMPREENDIMENTOS'!AK$11,0,IF(AI77='DADOS DOS EMPREENDIMENTOS'!AK$11,SUM(AK$41:AK77)*(1-'DADOS DOS EMPREENDIMENTOS'!#REF!-'DADOS DOS EMPREENDIMENTOS'!#REF!)+'DADOS DOS EMPREENDIMENTOS'!#REF!,IF(AI77='DADOS DOS EMPREENDIMENTOS'!#REF!,'DADOS DOS EMPREENDIMENTOS'!#REF!,AK77*(1-'DADOS DOS EMPREENDIMENTOS'!#REF!-'DADOS DOS EMPREENDIMENTOS'!#REF!))))</f>
        <v>#REF!</v>
      </c>
      <c r="AN77" s="45">
        <v>36</v>
      </c>
      <c r="AO77" s="26">
        <v>41030</v>
      </c>
      <c r="AP77" s="8">
        <v>0</v>
      </c>
      <c r="AQ77" s="56" t="e">
        <f>IF(AN77&lt;'DADOS DOS EMPREENDIMENTOS'!AP$11,0,IF(AN77='DADOS DOS EMPREENDIMENTOS'!AP$11,SUM(AP$41:AP77)*(1-'DADOS DOS EMPREENDIMENTOS'!#REF!-'DADOS DOS EMPREENDIMENTOS'!#REF!)+'DADOS DOS EMPREENDIMENTOS'!#REF!,IF(AN77='DADOS DOS EMPREENDIMENTOS'!#REF!,'DADOS DOS EMPREENDIMENTOS'!#REF!,AP77*(1-'DADOS DOS EMPREENDIMENTOS'!#REF!-'DADOS DOS EMPREENDIMENTOS'!#REF!))))</f>
        <v>#REF!</v>
      </c>
      <c r="AS77" s="45">
        <v>36</v>
      </c>
      <c r="AT77" s="26">
        <v>41030</v>
      </c>
      <c r="AU77" s="8">
        <v>0</v>
      </c>
      <c r="AV77" s="56" t="e">
        <f>IF(AS77&lt;'DADOS DOS EMPREENDIMENTOS'!AU$11,0,IF(AS77='DADOS DOS EMPREENDIMENTOS'!AU$11,SUM(AU$41:AU77)*(1-'DADOS DOS EMPREENDIMENTOS'!#REF!-'DADOS DOS EMPREENDIMENTOS'!#REF!)+'DADOS DOS EMPREENDIMENTOS'!#REF!,IF(AS77='DADOS DOS EMPREENDIMENTOS'!#REF!,'DADOS DOS EMPREENDIMENTOS'!#REF!,AU77*(1-'DADOS DOS EMPREENDIMENTOS'!#REF!-'DADOS DOS EMPREENDIMENTOS'!#REF!))))</f>
        <v>#REF!</v>
      </c>
      <c r="AX77" s="45">
        <v>36</v>
      </c>
      <c r="AY77" s="26">
        <v>41030</v>
      </c>
      <c r="AZ77" s="8">
        <v>0</v>
      </c>
      <c r="BA77" s="56" t="e">
        <f>IF(AX77&lt;'DADOS DOS EMPREENDIMENTOS'!AZ$11,0,IF(AX77='DADOS DOS EMPREENDIMENTOS'!AZ$11,SUM(AZ$41:AZ77)*(1-'DADOS DOS EMPREENDIMENTOS'!#REF!-'DADOS DOS EMPREENDIMENTOS'!#REF!)+'DADOS DOS EMPREENDIMENTOS'!#REF!,IF(AX77='DADOS DOS EMPREENDIMENTOS'!#REF!,'DADOS DOS EMPREENDIMENTOS'!#REF!,AZ77*(1-'DADOS DOS EMPREENDIMENTOS'!#REF!-'DADOS DOS EMPREENDIMENTOS'!#REF!))))</f>
        <v>#REF!</v>
      </c>
      <c r="BC77" s="45">
        <v>36</v>
      </c>
      <c r="BD77" s="26">
        <v>41030</v>
      </c>
      <c r="BE77" s="8">
        <v>0</v>
      </c>
      <c r="BF77" s="56" t="e">
        <f>IF(BC77&lt;'DADOS DOS EMPREENDIMENTOS'!BE$11,0,IF(BC77='DADOS DOS EMPREENDIMENTOS'!BE$11,SUM(BE$41:BE77)*(1-'DADOS DOS EMPREENDIMENTOS'!#REF!-'DADOS DOS EMPREENDIMENTOS'!#REF!)+'DADOS DOS EMPREENDIMENTOS'!#REF!,IF(BC77='DADOS DOS EMPREENDIMENTOS'!#REF!,'DADOS DOS EMPREENDIMENTOS'!#REF!,BE77*(1-'DADOS DOS EMPREENDIMENTOS'!#REF!-'DADOS DOS EMPREENDIMENTOS'!#REF!))))</f>
        <v>#REF!</v>
      </c>
      <c r="BH77" s="45">
        <v>36</v>
      </c>
      <c r="BI77" s="26">
        <v>41030</v>
      </c>
      <c r="BJ77" s="8">
        <v>0</v>
      </c>
      <c r="BK77" s="56" t="e">
        <f>IF(BH77&lt;'DADOS DOS EMPREENDIMENTOS'!BJ$11,0,IF(BH77='DADOS DOS EMPREENDIMENTOS'!BJ$11,SUM(BJ$41:BJ77)*(1-'DADOS DOS EMPREENDIMENTOS'!#REF!-'DADOS DOS EMPREENDIMENTOS'!#REF!)+'DADOS DOS EMPREENDIMENTOS'!#REF!,IF(BH77='DADOS DOS EMPREENDIMENTOS'!#REF!,'DADOS DOS EMPREENDIMENTOS'!#REF!,BJ77*(1-'DADOS DOS EMPREENDIMENTOS'!#REF!-'DADOS DOS EMPREENDIMENTOS'!#REF!))))</f>
        <v>#REF!</v>
      </c>
      <c r="BM77" s="45">
        <v>36</v>
      </c>
      <c r="BN77" s="26">
        <v>41030</v>
      </c>
      <c r="BO77" s="8">
        <v>0</v>
      </c>
      <c r="BP77" s="56" t="e">
        <f>IF(BM77&lt;'DADOS DOS EMPREENDIMENTOS'!BO$11,0,IF(BM77='DADOS DOS EMPREENDIMENTOS'!BO$11,SUM(BO$41:BO77)*(1-'DADOS DOS EMPREENDIMENTOS'!#REF!-'DADOS DOS EMPREENDIMENTOS'!#REF!)+'DADOS DOS EMPREENDIMENTOS'!#REF!,IF(BM77='DADOS DOS EMPREENDIMENTOS'!BO$12,'DADOS DOS EMPREENDIMENTOS'!#REF!,BO77*(1-'DADOS DOS EMPREENDIMENTOS'!#REF!-'DADOS DOS EMPREENDIMENTOS'!#REF!))))</f>
        <v>#REF!</v>
      </c>
      <c r="BR77" s="45">
        <v>36</v>
      </c>
      <c r="BS77" s="26">
        <v>41030</v>
      </c>
      <c r="BT77" s="8">
        <v>0</v>
      </c>
      <c r="BU77" s="56" t="e">
        <f>IF(BR77&lt;'DADOS DOS EMPREENDIMENTOS'!BT$11,0,IF(BR77='DADOS DOS EMPREENDIMENTOS'!BT$11,SUM(BT$41:BT77)*(1-'DADOS DOS EMPREENDIMENTOS'!#REF!-'DADOS DOS EMPREENDIMENTOS'!#REF!)+'DADOS DOS EMPREENDIMENTOS'!#REF!,IF(BR77='DADOS DOS EMPREENDIMENTOS'!BT$12,'DADOS DOS EMPREENDIMENTOS'!#REF!,BT77*(1-'DADOS DOS EMPREENDIMENTOS'!#REF!-'DADOS DOS EMPREENDIMENTOS'!#REF!))))</f>
        <v>#REF!</v>
      </c>
      <c r="BW77" s="45">
        <v>36</v>
      </c>
      <c r="BX77" s="26">
        <v>41030</v>
      </c>
      <c r="BY77" s="8">
        <v>0</v>
      </c>
      <c r="BZ77" s="56" t="e">
        <f>IF(BW77&lt;'DADOS DOS EMPREENDIMENTOS'!BY$11,0,IF(BW77='DADOS DOS EMPREENDIMENTOS'!BY$11,SUM(BY$41:BY77)*(1-'DADOS DOS EMPREENDIMENTOS'!#REF!-'DADOS DOS EMPREENDIMENTOS'!#REF!)+'DADOS DOS EMPREENDIMENTOS'!#REF!,IF(BW77='DADOS DOS EMPREENDIMENTOS'!BY$12,'DADOS DOS EMPREENDIMENTOS'!#REF!,BY77*(1-'DADOS DOS EMPREENDIMENTOS'!#REF!-'DADOS DOS EMPREENDIMENTOS'!#REF!))))</f>
        <v>#REF!</v>
      </c>
      <c r="CB77" s="45">
        <v>36</v>
      </c>
      <c r="CC77" s="26">
        <v>41030</v>
      </c>
      <c r="CD77" s="8">
        <v>0</v>
      </c>
      <c r="CE77" s="56" t="e">
        <f>IF(CB77&lt;'DADOS DOS EMPREENDIMENTOS'!CD$11,0,IF(CB77='DADOS DOS EMPREENDIMENTOS'!CD$11,SUM(CD$41:CD77)*(1-'DADOS DOS EMPREENDIMENTOS'!#REF!-'DADOS DOS EMPREENDIMENTOS'!#REF!)+'DADOS DOS EMPREENDIMENTOS'!#REF!,IF(CB77='DADOS DOS EMPREENDIMENTOS'!CD$12,'DADOS DOS EMPREENDIMENTOS'!#REF!,CD77*(1-'DADOS DOS EMPREENDIMENTOS'!#REF!-'DADOS DOS EMPREENDIMENTOS'!#REF!))))</f>
        <v>#REF!</v>
      </c>
      <c r="CG77" s="45"/>
      <c r="CH77" s="26"/>
      <c r="CI77" s="8"/>
      <c r="CJ77" s="56"/>
    </row>
    <row r="78" spans="15:88" ht="12.75" customHeight="1" thickBot="1" x14ac:dyDescent="0.25">
      <c r="O78" s="36">
        <v>63</v>
      </c>
      <c r="P78" s="341" t="s">
        <v>284</v>
      </c>
      <c r="Q78" s="344">
        <f>VLOOKUP(P78,Apoio!C:E,2,0)</f>
        <v>238050.3</v>
      </c>
      <c r="R78" s="343">
        <v>240000</v>
      </c>
      <c r="S78" s="206">
        <v>5</v>
      </c>
      <c r="T78" s="45">
        <v>37</v>
      </c>
      <c r="U78" s="26"/>
      <c r="V78" s="8"/>
      <c r="W78" s="56"/>
      <c r="Y78" s="45">
        <v>37</v>
      </c>
      <c r="Z78" s="26"/>
      <c r="AA78" s="8"/>
      <c r="AB78" s="56"/>
      <c r="AD78" s="45">
        <v>37</v>
      </c>
      <c r="AE78" s="26">
        <v>41061</v>
      </c>
      <c r="AF78" s="8">
        <v>0</v>
      </c>
      <c r="AG78" s="56" t="e">
        <f>IF(AD78&lt;'DADOS DOS EMPREENDIMENTOS'!AF$11,0,IF(AD78='DADOS DOS EMPREENDIMENTOS'!AF$11,SUM(AF$41:AF78)*(1-'DADOS DOS EMPREENDIMENTOS'!#REF!-'DADOS DOS EMPREENDIMENTOS'!#REF!)+'DADOS DOS EMPREENDIMENTOS'!#REF!,IF(AD78='DADOS DOS EMPREENDIMENTOS'!#REF!,'DADOS DOS EMPREENDIMENTOS'!#REF!,AF78*(1-'DADOS DOS EMPREENDIMENTOS'!#REF!-'DADOS DOS EMPREENDIMENTOS'!#REF!))))</f>
        <v>#REF!</v>
      </c>
      <c r="AI78" s="45">
        <v>37</v>
      </c>
      <c r="AJ78" s="26">
        <v>41061</v>
      </c>
      <c r="AK78" s="8">
        <v>0</v>
      </c>
      <c r="AL78" s="56" t="e">
        <f>IF(AI78&lt;'DADOS DOS EMPREENDIMENTOS'!AK$11,0,IF(AI78='DADOS DOS EMPREENDIMENTOS'!AK$11,SUM(AK$41:AK78)*(1-'DADOS DOS EMPREENDIMENTOS'!#REF!-'DADOS DOS EMPREENDIMENTOS'!#REF!)+'DADOS DOS EMPREENDIMENTOS'!#REF!,IF(AI78='DADOS DOS EMPREENDIMENTOS'!#REF!,'DADOS DOS EMPREENDIMENTOS'!#REF!,AK78*(1-'DADOS DOS EMPREENDIMENTOS'!#REF!-'DADOS DOS EMPREENDIMENTOS'!#REF!))))</f>
        <v>#REF!</v>
      </c>
      <c r="AN78" s="45">
        <v>37</v>
      </c>
      <c r="AO78" s="26">
        <v>41061</v>
      </c>
      <c r="AP78" s="8">
        <v>0</v>
      </c>
      <c r="AQ78" s="56" t="e">
        <f>IF(AN78&lt;'DADOS DOS EMPREENDIMENTOS'!AP$11,0,IF(AN78='DADOS DOS EMPREENDIMENTOS'!AP$11,SUM(AP$41:AP78)*(1-'DADOS DOS EMPREENDIMENTOS'!#REF!-'DADOS DOS EMPREENDIMENTOS'!#REF!)+'DADOS DOS EMPREENDIMENTOS'!#REF!,IF(AN78='DADOS DOS EMPREENDIMENTOS'!#REF!,'DADOS DOS EMPREENDIMENTOS'!#REF!,AP78*(1-'DADOS DOS EMPREENDIMENTOS'!#REF!-'DADOS DOS EMPREENDIMENTOS'!#REF!))))</f>
        <v>#REF!</v>
      </c>
      <c r="AS78" s="45">
        <v>37</v>
      </c>
      <c r="AT78" s="26">
        <v>41061</v>
      </c>
      <c r="AU78" s="8">
        <v>0</v>
      </c>
      <c r="AV78" s="56" t="e">
        <f>IF(AS78&lt;'DADOS DOS EMPREENDIMENTOS'!AU$11,0,IF(AS78='DADOS DOS EMPREENDIMENTOS'!AU$11,SUM(AU$41:AU78)*(1-'DADOS DOS EMPREENDIMENTOS'!#REF!-'DADOS DOS EMPREENDIMENTOS'!#REF!)+'DADOS DOS EMPREENDIMENTOS'!#REF!,IF(AS78='DADOS DOS EMPREENDIMENTOS'!#REF!,'DADOS DOS EMPREENDIMENTOS'!#REF!,AU78*(1-'DADOS DOS EMPREENDIMENTOS'!#REF!-'DADOS DOS EMPREENDIMENTOS'!#REF!))))</f>
        <v>#REF!</v>
      </c>
      <c r="AX78" s="45">
        <v>37</v>
      </c>
      <c r="AY78" s="26">
        <v>41061</v>
      </c>
      <c r="AZ78" s="8">
        <v>0</v>
      </c>
      <c r="BA78" s="56" t="e">
        <f>IF(AX78&lt;'DADOS DOS EMPREENDIMENTOS'!AZ$11,0,IF(AX78='DADOS DOS EMPREENDIMENTOS'!AZ$11,SUM(AZ$41:AZ78)*(1-'DADOS DOS EMPREENDIMENTOS'!#REF!-'DADOS DOS EMPREENDIMENTOS'!#REF!)+'DADOS DOS EMPREENDIMENTOS'!#REF!,IF(AX78='DADOS DOS EMPREENDIMENTOS'!#REF!,'DADOS DOS EMPREENDIMENTOS'!#REF!,AZ78*(1-'DADOS DOS EMPREENDIMENTOS'!#REF!-'DADOS DOS EMPREENDIMENTOS'!#REF!))))</f>
        <v>#REF!</v>
      </c>
      <c r="BC78" s="45">
        <v>37</v>
      </c>
      <c r="BD78" s="26">
        <v>41061</v>
      </c>
      <c r="BE78" s="8">
        <v>0</v>
      </c>
      <c r="BF78" s="56" t="e">
        <f>IF(BC78&lt;'DADOS DOS EMPREENDIMENTOS'!BE$11,0,IF(BC78='DADOS DOS EMPREENDIMENTOS'!BE$11,SUM(BE$41:BE78)*(1-'DADOS DOS EMPREENDIMENTOS'!#REF!-'DADOS DOS EMPREENDIMENTOS'!#REF!)+'DADOS DOS EMPREENDIMENTOS'!#REF!,IF(BC78='DADOS DOS EMPREENDIMENTOS'!#REF!,'DADOS DOS EMPREENDIMENTOS'!#REF!,BE78*(1-'DADOS DOS EMPREENDIMENTOS'!#REF!-'DADOS DOS EMPREENDIMENTOS'!#REF!))))</f>
        <v>#REF!</v>
      </c>
      <c r="BH78" s="45">
        <v>37</v>
      </c>
      <c r="BI78" s="26">
        <v>41061</v>
      </c>
      <c r="BJ78" s="8">
        <v>0</v>
      </c>
      <c r="BK78" s="56" t="e">
        <f>IF(BH78&lt;'DADOS DOS EMPREENDIMENTOS'!BJ$11,0,IF(BH78='DADOS DOS EMPREENDIMENTOS'!BJ$11,SUM(BJ$41:BJ78)*(1-'DADOS DOS EMPREENDIMENTOS'!#REF!-'DADOS DOS EMPREENDIMENTOS'!#REF!)+'DADOS DOS EMPREENDIMENTOS'!#REF!,IF(BH78='DADOS DOS EMPREENDIMENTOS'!#REF!,'DADOS DOS EMPREENDIMENTOS'!#REF!,BJ78*(1-'DADOS DOS EMPREENDIMENTOS'!#REF!-'DADOS DOS EMPREENDIMENTOS'!#REF!))))</f>
        <v>#REF!</v>
      </c>
      <c r="BM78" s="45">
        <v>37</v>
      </c>
      <c r="BN78" s="26">
        <v>41061</v>
      </c>
      <c r="BO78" s="8">
        <v>0</v>
      </c>
      <c r="BP78" s="56" t="e">
        <f>IF(BM78&lt;'DADOS DOS EMPREENDIMENTOS'!BO$11,0,IF(BM78='DADOS DOS EMPREENDIMENTOS'!BO$11,SUM(BO$41:BO78)*(1-'DADOS DOS EMPREENDIMENTOS'!#REF!-'DADOS DOS EMPREENDIMENTOS'!#REF!)+'DADOS DOS EMPREENDIMENTOS'!#REF!,IF(BM78='DADOS DOS EMPREENDIMENTOS'!BO$12,'DADOS DOS EMPREENDIMENTOS'!#REF!,BO78*(1-'DADOS DOS EMPREENDIMENTOS'!#REF!-'DADOS DOS EMPREENDIMENTOS'!#REF!))))</f>
        <v>#REF!</v>
      </c>
      <c r="BR78" s="45">
        <v>37</v>
      </c>
      <c r="BS78" s="26">
        <v>41061</v>
      </c>
      <c r="BT78" s="8">
        <v>0</v>
      </c>
      <c r="BU78" s="56" t="e">
        <f>IF(BR78&lt;'DADOS DOS EMPREENDIMENTOS'!BT$11,0,IF(BR78='DADOS DOS EMPREENDIMENTOS'!BT$11,SUM(BT$41:BT78)*(1-'DADOS DOS EMPREENDIMENTOS'!#REF!-'DADOS DOS EMPREENDIMENTOS'!#REF!)+'DADOS DOS EMPREENDIMENTOS'!#REF!,IF(BR78='DADOS DOS EMPREENDIMENTOS'!BT$12,'DADOS DOS EMPREENDIMENTOS'!#REF!,BT78*(1-'DADOS DOS EMPREENDIMENTOS'!#REF!-'DADOS DOS EMPREENDIMENTOS'!#REF!))))</f>
        <v>#REF!</v>
      </c>
      <c r="BW78" s="45">
        <v>37</v>
      </c>
      <c r="BX78" s="26">
        <v>41061</v>
      </c>
      <c r="BY78" s="8">
        <v>0</v>
      </c>
      <c r="BZ78" s="56" t="e">
        <f>IF(BW78&lt;'DADOS DOS EMPREENDIMENTOS'!BY$11,0,IF(BW78='DADOS DOS EMPREENDIMENTOS'!BY$11,SUM(BY$41:BY78)*(1-'DADOS DOS EMPREENDIMENTOS'!#REF!-'DADOS DOS EMPREENDIMENTOS'!#REF!)+'DADOS DOS EMPREENDIMENTOS'!#REF!,IF(BW78='DADOS DOS EMPREENDIMENTOS'!BY$12,'DADOS DOS EMPREENDIMENTOS'!#REF!,BY78*(1-'DADOS DOS EMPREENDIMENTOS'!#REF!-'DADOS DOS EMPREENDIMENTOS'!#REF!))))</f>
        <v>#REF!</v>
      </c>
      <c r="CB78" s="45">
        <v>37</v>
      </c>
      <c r="CC78" s="26">
        <v>41061</v>
      </c>
      <c r="CD78" s="8">
        <v>0</v>
      </c>
      <c r="CE78" s="56" t="e">
        <f>IF(CB78&lt;'DADOS DOS EMPREENDIMENTOS'!CD$11,0,IF(CB78='DADOS DOS EMPREENDIMENTOS'!CD$11,SUM(CD$41:CD78)*(1-'DADOS DOS EMPREENDIMENTOS'!#REF!-'DADOS DOS EMPREENDIMENTOS'!#REF!)+'DADOS DOS EMPREENDIMENTOS'!#REF!,IF(CB78='DADOS DOS EMPREENDIMENTOS'!CD$12,'DADOS DOS EMPREENDIMENTOS'!#REF!,CD78*(1-'DADOS DOS EMPREENDIMENTOS'!#REF!-'DADOS DOS EMPREENDIMENTOS'!#REF!))))</f>
        <v>#REF!</v>
      </c>
      <c r="CG78" s="45"/>
      <c r="CH78" s="26"/>
      <c r="CI78" s="8"/>
      <c r="CJ78" s="56"/>
    </row>
    <row r="79" spans="15:88" ht="12.75" customHeight="1" thickBot="1" x14ac:dyDescent="0.25">
      <c r="O79" s="38">
        <v>64</v>
      </c>
      <c r="P79" s="341" t="s">
        <v>285</v>
      </c>
      <c r="Q79" s="344">
        <f>VLOOKUP(P79,Apoio!C:E,2,0)</f>
        <v>200770.3</v>
      </c>
      <c r="R79" s="343">
        <v>240000</v>
      </c>
      <c r="S79" s="206">
        <v>5</v>
      </c>
      <c r="T79" s="45">
        <v>38</v>
      </c>
      <c r="U79" s="26"/>
      <c r="V79" s="8"/>
      <c r="W79" s="56"/>
      <c r="Y79" s="45">
        <v>38</v>
      </c>
      <c r="Z79" s="26"/>
      <c r="AA79" s="8"/>
      <c r="AB79" s="56"/>
      <c r="AD79" s="45">
        <v>38</v>
      </c>
      <c r="AE79" s="26">
        <v>41091</v>
      </c>
      <c r="AF79" s="8">
        <v>0</v>
      </c>
      <c r="AG79" s="56" t="e">
        <f>IF(AD79&lt;'DADOS DOS EMPREENDIMENTOS'!AF$11,0,IF(AD79='DADOS DOS EMPREENDIMENTOS'!AF$11,SUM(AF$41:AF79)*(1-'DADOS DOS EMPREENDIMENTOS'!#REF!-'DADOS DOS EMPREENDIMENTOS'!#REF!)+'DADOS DOS EMPREENDIMENTOS'!#REF!,IF(AD79='DADOS DOS EMPREENDIMENTOS'!#REF!,'DADOS DOS EMPREENDIMENTOS'!#REF!,AF79*(1-'DADOS DOS EMPREENDIMENTOS'!#REF!-'DADOS DOS EMPREENDIMENTOS'!#REF!))))</f>
        <v>#REF!</v>
      </c>
      <c r="AI79" s="45">
        <v>38</v>
      </c>
      <c r="AJ79" s="26">
        <v>41091</v>
      </c>
      <c r="AK79" s="8">
        <v>0</v>
      </c>
      <c r="AL79" s="56" t="e">
        <f>IF(AI79&lt;'DADOS DOS EMPREENDIMENTOS'!AK$11,0,IF(AI79='DADOS DOS EMPREENDIMENTOS'!AK$11,SUM(AK$41:AK79)*(1-'DADOS DOS EMPREENDIMENTOS'!#REF!-'DADOS DOS EMPREENDIMENTOS'!#REF!)+'DADOS DOS EMPREENDIMENTOS'!#REF!,IF(AI79='DADOS DOS EMPREENDIMENTOS'!#REF!,'DADOS DOS EMPREENDIMENTOS'!#REF!,AK79*(1-'DADOS DOS EMPREENDIMENTOS'!#REF!-'DADOS DOS EMPREENDIMENTOS'!#REF!))))</f>
        <v>#REF!</v>
      </c>
      <c r="AN79" s="45">
        <v>38</v>
      </c>
      <c r="AO79" s="26">
        <v>41091</v>
      </c>
      <c r="AP79" s="8">
        <v>0</v>
      </c>
      <c r="AQ79" s="56" t="e">
        <f>IF(AN79&lt;'DADOS DOS EMPREENDIMENTOS'!AP$11,0,IF(AN79='DADOS DOS EMPREENDIMENTOS'!AP$11,SUM(AP$41:AP79)*(1-'DADOS DOS EMPREENDIMENTOS'!#REF!-'DADOS DOS EMPREENDIMENTOS'!#REF!)+'DADOS DOS EMPREENDIMENTOS'!#REF!,IF(AN79='DADOS DOS EMPREENDIMENTOS'!#REF!,'DADOS DOS EMPREENDIMENTOS'!#REF!,AP79*(1-'DADOS DOS EMPREENDIMENTOS'!#REF!-'DADOS DOS EMPREENDIMENTOS'!#REF!))))</f>
        <v>#REF!</v>
      </c>
      <c r="AS79" s="45">
        <v>38</v>
      </c>
      <c r="AT79" s="26">
        <v>41091</v>
      </c>
      <c r="AU79" s="8">
        <v>0</v>
      </c>
      <c r="AV79" s="56" t="e">
        <f>IF(AS79&lt;'DADOS DOS EMPREENDIMENTOS'!AU$11,0,IF(AS79='DADOS DOS EMPREENDIMENTOS'!AU$11,SUM(AU$41:AU79)*(1-'DADOS DOS EMPREENDIMENTOS'!#REF!-'DADOS DOS EMPREENDIMENTOS'!#REF!)+'DADOS DOS EMPREENDIMENTOS'!#REF!,IF(AS79='DADOS DOS EMPREENDIMENTOS'!#REF!,'DADOS DOS EMPREENDIMENTOS'!#REF!,AU79*(1-'DADOS DOS EMPREENDIMENTOS'!#REF!-'DADOS DOS EMPREENDIMENTOS'!#REF!))))</f>
        <v>#REF!</v>
      </c>
      <c r="AX79" s="45">
        <v>38</v>
      </c>
      <c r="AY79" s="26">
        <v>41091</v>
      </c>
      <c r="AZ79" s="8">
        <v>0</v>
      </c>
      <c r="BA79" s="56" t="e">
        <f>IF(AX79&lt;'DADOS DOS EMPREENDIMENTOS'!AZ$11,0,IF(AX79='DADOS DOS EMPREENDIMENTOS'!AZ$11,SUM(AZ$41:AZ79)*(1-'DADOS DOS EMPREENDIMENTOS'!#REF!-'DADOS DOS EMPREENDIMENTOS'!#REF!)+'DADOS DOS EMPREENDIMENTOS'!#REF!,IF(AX79='DADOS DOS EMPREENDIMENTOS'!#REF!,'DADOS DOS EMPREENDIMENTOS'!#REF!,AZ79*(1-'DADOS DOS EMPREENDIMENTOS'!#REF!-'DADOS DOS EMPREENDIMENTOS'!#REF!))))</f>
        <v>#REF!</v>
      </c>
      <c r="BC79" s="45">
        <v>38</v>
      </c>
      <c r="BD79" s="26">
        <v>41091</v>
      </c>
      <c r="BE79" s="8">
        <v>0</v>
      </c>
      <c r="BF79" s="56" t="e">
        <f>IF(BC79&lt;'DADOS DOS EMPREENDIMENTOS'!BE$11,0,IF(BC79='DADOS DOS EMPREENDIMENTOS'!BE$11,SUM(BE$41:BE79)*(1-'DADOS DOS EMPREENDIMENTOS'!#REF!-'DADOS DOS EMPREENDIMENTOS'!#REF!)+'DADOS DOS EMPREENDIMENTOS'!#REF!,IF(BC79='DADOS DOS EMPREENDIMENTOS'!#REF!,'DADOS DOS EMPREENDIMENTOS'!#REF!,BE79*(1-'DADOS DOS EMPREENDIMENTOS'!#REF!-'DADOS DOS EMPREENDIMENTOS'!#REF!))))</f>
        <v>#REF!</v>
      </c>
      <c r="BH79" s="45">
        <v>38</v>
      </c>
      <c r="BI79" s="26">
        <v>41091</v>
      </c>
      <c r="BJ79" s="8">
        <v>0</v>
      </c>
      <c r="BK79" s="56" t="e">
        <f>IF(BH79&lt;'DADOS DOS EMPREENDIMENTOS'!BJ$11,0,IF(BH79='DADOS DOS EMPREENDIMENTOS'!BJ$11,SUM(BJ$41:BJ79)*(1-'DADOS DOS EMPREENDIMENTOS'!#REF!-'DADOS DOS EMPREENDIMENTOS'!#REF!)+'DADOS DOS EMPREENDIMENTOS'!#REF!,IF(BH79='DADOS DOS EMPREENDIMENTOS'!#REF!,'DADOS DOS EMPREENDIMENTOS'!#REF!,BJ79*(1-'DADOS DOS EMPREENDIMENTOS'!#REF!-'DADOS DOS EMPREENDIMENTOS'!#REF!))))</f>
        <v>#REF!</v>
      </c>
      <c r="BM79" s="45">
        <v>38</v>
      </c>
      <c r="BN79" s="26">
        <v>41091</v>
      </c>
      <c r="BO79" s="8">
        <v>0</v>
      </c>
      <c r="BP79" s="56" t="e">
        <f>IF(BM79&lt;'DADOS DOS EMPREENDIMENTOS'!BO$11,0,IF(BM79='DADOS DOS EMPREENDIMENTOS'!BO$11,SUM(BO$41:BO79)*(1-'DADOS DOS EMPREENDIMENTOS'!#REF!-'DADOS DOS EMPREENDIMENTOS'!#REF!)+'DADOS DOS EMPREENDIMENTOS'!#REF!,IF(BM79='DADOS DOS EMPREENDIMENTOS'!BO$12,'DADOS DOS EMPREENDIMENTOS'!#REF!,BO79*(1-'DADOS DOS EMPREENDIMENTOS'!#REF!-'DADOS DOS EMPREENDIMENTOS'!#REF!))))</f>
        <v>#REF!</v>
      </c>
      <c r="BR79" s="45">
        <v>38</v>
      </c>
      <c r="BS79" s="26">
        <v>41091</v>
      </c>
      <c r="BT79" s="8">
        <v>0</v>
      </c>
      <c r="BU79" s="56" t="e">
        <f>IF(BR79&lt;'DADOS DOS EMPREENDIMENTOS'!BT$11,0,IF(BR79='DADOS DOS EMPREENDIMENTOS'!BT$11,SUM(BT$41:BT79)*(1-'DADOS DOS EMPREENDIMENTOS'!#REF!-'DADOS DOS EMPREENDIMENTOS'!#REF!)+'DADOS DOS EMPREENDIMENTOS'!#REF!,IF(BR79='DADOS DOS EMPREENDIMENTOS'!BT$12,'DADOS DOS EMPREENDIMENTOS'!#REF!,BT79*(1-'DADOS DOS EMPREENDIMENTOS'!#REF!-'DADOS DOS EMPREENDIMENTOS'!#REF!))))</f>
        <v>#REF!</v>
      </c>
      <c r="BW79" s="45">
        <v>38</v>
      </c>
      <c r="BX79" s="26">
        <v>41091</v>
      </c>
      <c r="BY79" s="8">
        <v>0</v>
      </c>
      <c r="BZ79" s="56" t="e">
        <f>IF(BW79&lt;'DADOS DOS EMPREENDIMENTOS'!BY$11,0,IF(BW79='DADOS DOS EMPREENDIMENTOS'!BY$11,SUM(BY$41:BY79)*(1-'DADOS DOS EMPREENDIMENTOS'!#REF!-'DADOS DOS EMPREENDIMENTOS'!#REF!)+'DADOS DOS EMPREENDIMENTOS'!#REF!,IF(BW79='DADOS DOS EMPREENDIMENTOS'!BY$12,'DADOS DOS EMPREENDIMENTOS'!#REF!,BY79*(1-'DADOS DOS EMPREENDIMENTOS'!#REF!-'DADOS DOS EMPREENDIMENTOS'!#REF!))))</f>
        <v>#REF!</v>
      </c>
      <c r="CB79" s="45">
        <v>38</v>
      </c>
      <c r="CC79" s="26">
        <v>41091</v>
      </c>
      <c r="CD79" s="8">
        <v>0</v>
      </c>
      <c r="CE79" s="56" t="e">
        <f>IF(CB79&lt;'DADOS DOS EMPREENDIMENTOS'!CD$11,0,IF(CB79='DADOS DOS EMPREENDIMENTOS'!CD$11,SUM(CD$41:CD79)*(1-'DADOS DOS EMPREENDIMENTOS'!#REF!-'DADOS DOS EMPREENDIMENTOS'!#REF!)+'DADOS DOS EMPREENDIMENTOS'!#REF!,IF(CB79='DADOS DOS EMPREENDIMENTOS'!CD$12,'DADOS DOS EMPREENDIMENTOS'!#REF!,CD79*(1-'DADOS DOS EMPREENDIMENTOS'!#REF!-'DADOS DOS EMPREENDIMENTOS'!#REF!))))</f>
        <v>#REF!</v>
      </c>
      <c r="CG79" s="45"/>
      <c r="CH79" s="26"/>
      <c r="CI79" s="8"/>
      <c r="CJ79" s="56"/>
    </row>
    <row r="80" spans="15:88" ht="12.75" customHeight="1" thickBot="1" x14ac:dyDescent="0.25">
      <c r="O80" s="36">
        <v>65</v>
      </c>
      <c r="P80" s="341" t="s">
        <v>286</v>
      </c>
      <c r="Q80" s="344">
        <f>VLOOKUP(P80,Apoio!C:E,2,0)</f>
        <v>215989</v>
      </c>
      <c r="R80" s="343">
        <v>240000</v>
      </c>
      <c r="S80" s="206">
        <v>5</v>
      </c>
      <c r="T80" s="45">
        <v>39</v>
      </c>
      <c r="U80" s="26"/>
      <c r="V80" s="8"/>
      <c r="W80" s="56"/>
      <c r="Y80" s="45">
        <v>39</v>
      </c>
      <c r="Z80" s="26"/>
      <c r="AA80" s="8"/>
      <c r="AB80" s="56"/>
      <c r="AD80" s="45">
        <v>39</v>
      </c>
      <c r="AE80" s="26">
        <v>41122</v>
      </c>
      <c r="AF80" s="8">
        <v>0</v>
      </c>
      <c r="AG80" s="56" t="e">
        <f>IF(AD80&lt;'DADOS DOS EMPREENDIMENTOS'!AF$11,0,IF(AD80='DADOS DOS EMPREENDIMENTOS'!AF$11,SUM(AF$41:AF80)*(1-'DADOS DOS EMPREENDIMENTOS'!#REF!-'DADOS DOS EMPREENDIMENTOS'!#REF!)+'DADOS DOS EMPREENDIMENTOS'!#REF!,IF(AD80='DADOS DOS EMPREENDIMENTOS'!#REF!,'DADOS DOS EMPREENDIMENTOS'!#REF!,AF80*(1-'DADOS DOS EMPREENDIMENTOS'!#REF!-'DADOS DOS EMPREENDIMENTOS'!#REF!))))</f>
        <v>#REF!</v>
      </c>
      <c r="AI80" s="45">
        <v>39</v>
      </c>
      <c r="AJ80" s="26">
        <v>41122</v>
      </c>
      <c r="AK80" s="8">
        <v>0</v>
      </c>
      <c r="AL80" s="56" t="e">
        <f>IF(AI80&lt;'DADOS DOS EMPREENDIMENTOS'!AK$11,0,IF(AI80='DADOS DOS EMPREENDIMENTOS'!AK$11,SUM(AK$41:AK80)*(1-'DADOS DOS EMPREENDIMENTOS'!#REF!-'DADOS DOS EMPREENDIMENTOS'!#REF!)+'DADOS DOS EMPREENDIMENTOS'!#REF!,IF(AI80='DADOS DOS EMPREENDIMENTOS'!#REF!,'DADOS DOS EMPREENDIMENTOS'!#REF!,AK80*(1-'DADOS DOS EMPREENDIMENTOS'!#REF!-'DADOS DOS EMPREENDIMENTOS'!#REF!))))</f>
        <v>#REF!</v>
      </c>
      <c r="AN80" s="45">
        <v>39</v>
      </c>
      <c r="AO80" s="26">
        <v>41122</v>
      </c>
      <c r="AP80" s="8">
        <v>0</v>
      </c>
      <c r="AQ80" s="56" t="e">
        <f>IF(AN80&lt;'DADOS DOS EMPREENDIMENTOS'!AP$11,0,IF(AN80='DADOS DOS EMPREENDIMENTOS'!AP$11,SUM(AP$41:AP80)*(1-'DADOS DOS EMPREENDIMENTOS'!#REF!-'DADOS DOS EMPREENDIMENTOS'!#REF!)+'DADOS DOS EMPREENDIMENTOS'!#REF!,IF(AN80='DADOS DOS EMPREENDIMENTOS'!#REF!,'DADOS DOS EMPREENDIMENTOS'!#REF!,AP80*(1-'DADOS DOS EMPREENDIMENTOS'!#REF!-'DADOS DOS EMPREENDIMENTOS'!#REF!))))</f>
        <v>#REF!</v>
      </c>
      <c r="AS80" s="45">
        <v>39</v>
      </c>
      <c r="AT80" s="26">
        <v>41122</v>
      </c>
      <c r="AU80" s="8">
        <v>0</v>
      </c>
      <c r="AV80" s="56" t="e">
        <f>IF(AS80&lt;'DADOS DOS EMPREENDIMENTOS'!AU$11,0,IF(AS80='DADOS DOS EMPREENDIMENTOS'!AU$11,SUM(AU$41:AU80)*(1-'DADOS DOS EMPREENDIMENTOS'!#REF!-'DADOS DOS EMPREENDIMENTOS'!#REF!)+'DADOS DOS EMPREENDIMENTOS'!#REF!,IF(AS80='DADOS DOS EMPREENDIMENTOS'!#REF!,'DADOS DOS EMPREENDIMENTOS'!#REF!,AU80*(1-'DADOS DOS EMPREENDIMENTOS'!#REF!-'DADOS DOS EMPREENDIMENTOS'!#REF!))))</f>
        <v>#REF!</v>
      </c>
      <c r="AX80" s="45">
        <v>39</v>
      </c>
      <c r="AY80" s="26">
        <v>41122</v>
      </c>
      <c r="AZ80" s="8">
        <v>0</v>
      </c>
      <c r="BA80" s="56" t="e">
        <f>IF(AX80&lt;'DADOS DOS EMPREENDIMENTOS'!AZ$11,0,IF(AX80='DADOS DOS EMPREENDIMENTOS'!AZ$11,SUM(AZ$41:AZ80)*(1-'DADOS DOS EMPREENDIMENTOS'!#REF!-'DADOS DOS EMPREENDIMENTOS'!#REF!)+'DADOS DOS EMPREENDIMENTOS'!#REF!,IF(AX80='DADOS DOS EMPREENDIMENTOS'!#REF!,'DADOS DOS EMPREENDIMENTOS'!#REF!,AZ80*(1-'DADOS DOS EMPREENDIMENTOS'!#REF!-'DADOS DOS EMPREENDIMENTOS'!#REF!))))</f>
        <v>#REF!</v>
      </c>
      <c r="BC80" s="45">
        <v>39</v>
      </c>
      <c r="BD80" s="26">
        <v>41122</v>
      </c>
      <c r="BE80" s="8">
        <v>0</v>
      </c>
      <c r="BF80" s="56" t="e">
        <f>IF(BC80&lt;'DADOS DOS EMPREENDIMENTOS'!BE$11,0,IF(BC80='DADOS DOS EMPREENDIMENTOS'!BE$11,SUM(BE$41:BE80)*(1-'DADOS DOS EMPREENDIMENTOS'!#REF!-'DADOS DOS EMPREENDIMENTOS'!#REF!)+'DADOS DOS EMPREENDIMENTOS'!#REF!,IF(BC80='DADOS DOS EMPREENDIMENTOS'!#REF!,'DADOS DOS EMPREENDIMENTOS'!#REF!,BE80*(1-'DADOS DOS EMPREENDIMENTOS'!#REF!-'DADOS DOS EMPREENDIMENTOS'!#REF!))))</f>
        <v>#REF!</v>
      </c>
      <c r="BH80" s="45">
        <v>39</v>
      </c>
      <c r="BI80" s="26">
        <v>41122</v>
      </c>
      <c r="BJ80" s="8">
        <v>0</v>
      </c>
      <c r="BK80" s="56" t="e">
        <f>IF(BH80&lt;'DADOS DOS EMPREENDIMENTOS'!BJ$11,0,IF(BH80='DADOS DOS EMPREENDIMENTOS'!BJ$11,SUM(BJ$41:BJ80)*(1-'DADOS DOS EMPREENDIMENTOS'!#REF!-'DADOS DOS EMPREENDIMENTOS'!#REF!)+'DADOS DOS EMPREENDIMENTOS'!#REF!,IF(BH80='DADOS DOS EMPREENDIMENTOS'!#REF!,'DADOS DOS EMPREENDIMENTOS'!#REF!,BJ80*(1-'DADOS DOS EMPREENDIMENTOS'!#REF!-'DADOS DOS EMPREENDIMENTOS'!#REF!))))</f>
        <v>#REF!</v>
      </c>
      <c r="BM80" s="45">
        <v>39</v>
      </c>
      <c r="BN80" s="26">
        <v>41122</v>
      </c>
      <c r="BO80" s="8">
        <v>0</v>
      </c>
      <c r="BP80" s="56" t="e">
        <f>IF(BM80&lt;'DADOS DOS EMPREENDIMENTOS'!BO$11,0,IF(BM80='DADOS DOS EMPREENDIMENTOS'!BO$11,SUM(BO$41:BO80)*(1-'DADOS DOS EMPREENDIMENTOS'!#REF!-'DADOS DOS EMPREENDIMENTOS'!#REF!)+'DADOS DOS EMPREENDIMENTOS'!#REF!,IF(BM80='DADOS DOS EMPREENDIMENTOS'!BO$12,'DADOS DOS EMPREENDIMENTOS'!#REF!,BO80*(1-'DADOS DOS EMPREENDIMENTOS'!#REF!-'DADOS DOS EMPREENDIMENTOS'!#REF!))))</f>
        <v>#REF!</v>
      </c>
      <c r="BR80" s="45">
        <v>39</v>
      </c>
      <c r="BS80" s="26">
        <v>41122</v>
      </c>
      <c r="BT80" s="8">
        <v>0</v>
      </c>
      <c r="BU80" s="56" t="e">
        <f>IF(BR80&lt;'DADOS DOS EMPREENDIMENTOS'!BT$11,0,IF(BR80='DADOS DOS EMPREENDIMENTOS'!BT$11,SUM(BT$41:BT80)*(1-'DADOS DOS EMPREENDIMENTOS'!#REF!-'DADOS DOS EMPREENDIMENTOS'!#REF!)+'DADOS DOS EMPREENDIMENTOS'!#REF!,IF(BR80='DADOS DOS EMPREENDIMENTOS'!BT$12,'DADOS DOS EMPREENDIMENTOS'!#REF!,BT80*(1-'DADOS DOS EMPREENDIMENTOS'!#REF!-'DADOS DOS EMPREENDIMENTOS'!#REF!))))</f>
        <v>#REF!</v>
      </c>
      <c r="BW80" s="45">
        <v>39</v>
      </c>
      <c r="BX80" s="26">
        <v>41122</v>
      </c>
      <c r="BY80" s="8">
        <v>0</v>
      </c>
      <c r="BZ80" s="56" t="e">
        <f>IF(BW80&lt;'DADOS DOS EMPREENDIMENTOS'!BY$11,0,IF(BW80='DADOS DOS EMPREENDIMENTOS'!BY$11,SUM(BY$41:BY80)*(1-'DADOS DOS EMPREENDIMENTOS'!#REF!-'DADOS DOS EMPREENDIMENTOS'!#REF!)+'DADOS DOS EMPREENDIMENTOS'!#REF!,IF(BW80='DADOS DOS EMPREENDIMENTOS'!BY$12,'DADOS DOS EMPREENDIMENTOS'!#REF!,BY80*(1-'DADOS DOS EMPREENDIMENTOS'!#REF!-'DADOS DOS EMPREENDIMENTOS'!#REF!))))</f>
        <v>#REF!</v>
      </c>
      <c r="CB80" s="45">
        <v>39</v>
      </c>
      <c r="CC80" s="26">
        <v>41122</v>
      </c>
      <c r="CD80" s="8">
        <v>0</v>
      </c>
      <c r="CE80" s="56" t="e">
        <f>IF(CB80&lt;'DADOS DOS EMPREENDIMENTOS'!CD$11,0,IF(CB80='DADOS DOS EMPREENDIMENTOS'!CD$11,SUM(CD$41:CD80)*(1-'DADOS DOS EMPREENDIMENTOS'!#REF!-'DADOS DOS EMPREENDIMENTOS'!#REF!)+'DADOS DOS EMPREENDIMENTOS'!#REF!,IF(CB80='DADOS DOS EMPREENDIMENTOS'!CD$12,'DADOS DOS EMPREENDIMENTOS'!#REF!,CD80*(1-'DADOS DOS EMPREENDIMENTOS'!#REF!-'DADOS DOS EMPREENDIMENTOS'!#REF!))))</f>
        <v>#REF!</v>
      </c>
      <c r="CG80" s="45"/>
      <c r="CH80" s="26"/>
      <c r="CI80" s="8"/>
      <c r="CJ80" s="56"/>
    </row>
    <row r="81" spans="15:88" ht="13.5" customHeight="1" thickBot="1" x14ac:dyDescent="0.25">
      <c r="O81" s="38">
        <v>66</v>
      </c>
      <c r="P81" s="341" t="s">
        <v>287</v>
      </c>
      <c r="Q81" s="344">
        <f>VLOOKUP(P81,Apoio!C:E,2,0)</f>
        <v>215989</v>
      </c>
      <c r="R81" s="343">
        <v>240000</v>
      </c>
      <c r="S81" s="206">
        <v>5</v>
      </c>
      <c r="T81" s="46">
        <v>40</v>
      </c>
      <c r="U81" s="47"/>
      <c r="V81" s="48"/>
      <c r="W81" s="56"/>
      <c r="Y81" s="46">
        <v>40</v>
      </c>
      <c r="Z81" s="47"/>
      <c r="AA81" s="48"/>
      <c r="AB81" s="56"/>
      <c r="AD81" s="46">
        <v>40</v>
      </c>
      <c r="AE81" s="47">
        <v>41153</v>
      </c>
      <c r="AF81" s="48">
        <v>0</v>
      </c>
      <c r="AG81" s="56" t="e">
        <f>IF(AD81&lt;'DADOS DOS EMPREENDIMENTOS'!AF$11,0,IF(AD81='DADOS DOS EMPREENDIMENTOS'!AF$11,SUM(AF$41:AF81)*(1-'DADOS DOS EMPREENDIMENTOS'!#REF!-'DADOS DOS EMPREENDIMENTOS'!#REF!)+'DADOS DOS EMPREENDIMENTOS'!#REF!,IF(AD81='DADOS DOS EMPREENDIMENTOS'!#REF!,'DADOS DOS EMPREENDIMENTOS'!#REF!,AF81*(1-'DADOS DOS EMPREENDIMENTOS'!#REF!-'DADOS DOS EMPREENDIMENTOS'!#REF!))))</f>
        <v>#REF!</v>
      </c>
      <c r="AI81" s="46">
        <v>40</v>
      </c>
      <c r="AJ81" s="47">
        <v>41153</v>
      </c>
      <c r="AK81" s="48">
        <v>0</v>
      </c>
      <c r="AL81" s="56" t="e">
        <f>IF(AI81&lt;'DADOS DOS EMPREENDIMENTOS'!AK$11,0,IF(AI81='DADOS DOS EMPREENDIMENTOS'!AK$11,SUM(AK$41:AK81)*(1-'DADOS DOS EMPREENDIMENTOS'!#REF!-'DADOS DOS EMPREENDIMENTOS'!#REF!)+'DADOS DOS EMPREENDIMENTOS'!#REF!,IF(AI81='DADOS DOS EMPREENDIMENTOS'!#REF!,'DADOS DOS EMPREENDIMENTOS'!#REF!,AK81*(1-'DADOS DOS EMPREENDIMENTOS'!#REF!-'DADOS DOS EMPREENDIMENTOS'!#REF!))))</f>
        <v>#REF!</v>
      </c>
      <c r="AN81" s="46">
        <v>40</v>
      </c>
      <c r="AO81" s="47">
        <v>41153</v>
      </c>
      <c r="AP81" s="48">
        <v>0</v>
      </c>
      <c r="AQ81" s="56" t="e">
        <f>IF(AN81&lt;'DADOS DOS EMPREENDIMENTOS'!AP$11,0,IF(AN81='DADOS DOS EMPREENDIMENTOS'!AP$11,SUM(AP$41:AP81)*(1-'DADOS DOS EMPREENDIMENTOS'!#REF!-'DADOS DOS EMPREENDIMENTOS'!#REF!)+'DADOS DOS EMPREENDIMENTOS'!#REF!,IF(AN81='DADOS DOS EMPREENDIMENTOS'!#REF!,'DADOS DOS EMPREENDIMENTOS'!#REF!,AP81*(1-'DADOS DOS EMPREENDIMENTOS'!#REF!-'DADOS DOS EMPREENDIMENTOS'!#REF!))))</f>
        <v>#REF!</v>
      </c>
      <c r="AS81" s="46">
        <v>40</v>
      </c>
      <c r="AT81" s="47">
        <v>41153</v>
      </c>
      <c r="AU81" s="48">
        <v>0</v>
      </c>
      <c r="AV81" s="56" t="e">
        <f>IF(AS81&lt;'DADOS DOS EMPREENDIMENTOS'!AU$11,0,IF(AS81='DADOS DOS EMPREENDIMENTOS'!AU$11,SUM(AU$41:AU81)*(1-'DADOS DOS EMPREENDIMENTOS'!#REF!-'DADOS DOS EMPREENDIMENTOS'!#REF!)+'DADOS DOS EMPREENDIMENTOS'!#REF!,IF(AS81='DADOS DOS EMPREENDIMENTOS'!#REF!,'DADOS DOS EMPREENDIMENTOS'!#REF!,AU81*(1-'DADOS DOS EMPREENDIMENTOS'!#REF!-'DADOS DOS EMPREENDIMENTOS'!#REF!))))</f>
        <v>#REF!</v>
      </c>
      <c r="AX81" s="46">
        <v>40</v>
      </c>
      <c r="AY81" s="47">
        <v>41153</v>
      </c>
      <c r="AZ81" s="48">
        <v>0</v>
      </c>
      <c r="BA81" s="56" t="e">
        <f>IF(AX81&lt;'DADOS DOS EMPREENDIMENTOS'!AZ$11,0,IF(AX81='DADOS DOS EMPREENDIMENTOS'!AZ$11,SUM(AZ$41:AZ81)*(1-'DADOS DOS EMPREENDIMENTOS'!#REF!-'DADOS DOS EMPREENDIMENTOS'!#REF!)+'DADOS DOS EMPREENDIMENTOS'!#REF!,IF(AX81='DADOS DOS EMPREENDIMENTOS'!#REF!,'DADOS DOS EMPREENDIMENTOS'!#REF!,AZ81*(1-'DADOS DOS EMPREENDIMENTOS'!#REF!-'DADOS DOS EMPREENDIMENTOS'!#REF!))))</f>
        <v>#REF!</v>
      </c>
      <c r="BC81" s="46">
        <v>40</v>
      </c>
      <c r="BD81" s="47">
        <v>41153</v>
      </c>
      <c r="BE81" s="48">
        <v>0</v>
      </c>
      <c r="BF81" s="56" t="e">
        <f>IF(BC81&lt;'DADOS DOS EMPREENDIMENTOS'!BE$11,0,IF(BC81='DADOS DOS EMPREENDIMENTOS'!BE$11,SUM(BE$41:BE81)*(1-'DADOS DOS EMPREENDIMENTOS'!#REF!-'DADOS DOS EMPREENDIMENTOS'!#REF!)+'DADOS DOS EMPREENDIMENTOS'!#REF!,IF(BC81='DADOS DOS EMPREENDIMENTOS'!#REF!,'DADOS DOS EMPREENDIMENTOS'!#REF!,BE81*(1-'DADOS DOS EMPREENDIMENTOS'!#REF!-'DADOS DOS EMPREENDIMENTOS'!#REF!))))</f>
        <v>#REF!</v>
      </c>
      <c r="BH81" s="46">
        <v>40</v>
      </c>
      <c r="BI81" s="47">
        <v>41153</v>
      </c>
      <c r="BJ81" s="48">
        <v>0</v>
      </c>
      <c r="BK81" s="56" t="e">
        <f>IF(BH81&lt;'DADOS DOS EMPREENDIMENTOS'!BJ$11,0,IF(BH81='DADOS DOS EMPREENDIMENTOS'!BJ$11,SUM(BJ$41:BJ81)*(1-'DADOS DOS EMPREENDIMENTOS'!#REF!-'DADOS DOS EMPREENDIMENTOS'!#REF!)+'DADOS DOS EMPREENDIMENTOS'!#REF!,IF(BH81='DADOS DOS EMPREENDIMENTOS'!#REF!,'DADOS DOS EMPREENDIMENTOS'!#REF!,BJ81*(1-'DADOS DOS EMPREENDIMENTOS'!#REF!-'DADOS DOS EMPREENDIMENTOS'!#REF!))))</f>
        <v>#REF!</v>
      </c>
      <c r="BM81" s="46">
        <v>40</v>
      </c>
      <c r="BN81" s="47">
        <v>41153</v>
      </c>
      <c r="BO81" s="48">
        <v>0</v>
      </c>
      <c r="BP81" s="56" t="e">
        <f>IF(BM81&lt;'DADOS DOS EMPREENDIMENTOS'!BO$11,0,IF(BM81='DADOS DOS EMPREENDIMENTOS'!BO$11,SUM(BO$41:BO81)*(1-'DADOS DOS EMPREENDIMENTOS'!#REF!-'DADOS DOS EMPREENDIMENTOS'!#REF!)+'DADOS DOS EMPREENDIMENTOS'!#REF!,IF(BM81='DADOS DOS EMPREENDIMENTOS'!BO$12,'DADOS DOS EMPREENDIMENTOS'!#REF!,BO81*(1-'DADOS DOS EMPREENDIMENTOS'!#REF!-'DADOS DOS EMPREENDIMENTOS'!#REF!))))</f>
        <v>#REF!</v>
      </c>
      <c r="BR81" s="46">
        <v>40</v>
      </c>
      <c r="BS81" s="47">
        <v>41153</v>
      </c>
      <c r="BT81" s="48">
        <v>0</v>
      </c>
      <c r="BU81" s="56" t="e">
        <f>IF(BR81&lt;'DADOS DOS EMPREENDIMENTOS'!BT$11,0,IF(BR81='DADOS DOS EMPREENDIMENTOS'!BT$11,SUM(BT$41:BT81)*(1-'DADOS DOS EMPREENDIMENTOS'!#REF!-'DADOS DOS EMPREENDIMENTOS'!#REF!)+'DADOS DOS EMPREENDIMENTOS'!#REF!,IF(BR81='DADOS DOS EMPREENDIMENTOS'!BT$12,'DADOS DOS EMPREENDIMENTOS'!#REF!,BT81*(1-'DADOS DOS EMPREENDIMENTOS'!#REF!-'DADOS DOS EMPREENDIMENTOS'!#REF!))))</f>
        <v>#REF!</v>
      </c>
      <c r="BW81" s="46">
        <v>40</v>
      </c>
      <c r="BX81" s="47">
        <v>41153</v>
      </c>
      <c r="BY81" s="48">
        <v>0</v>
      </c>
      <c r="BZ81" s="56" t="e">
        <f>IF(BW81&lt;'DADOS DOS EMPREENDIMENTOS'!BY$11,0,IF(BW81='DADOS DOS EMPREENDIMENTOS'!BY$11,SUM(BY$41:BY81)*(1-'DADOS DOS EMPREENDIMENTOS'!#REF!-'DADOS DOS EMPREENDIMENTOS'!#REF!)+'DADOS DOS EMPREENDIMENTOS'!#REF!,IF(BW81='DADOS DOS EMPREENDIMENTOS'!BY$12,'DADOS DOS EMPREENDIMENTOS'!#REF!,BY81*(1-'DADOS DOS EMPREENDIMENTOS'!#REF!-'DADOS DOS EMPREENDIMENTOS'!#REF!))))</f>
        <v>#REF!</v>
      </c>
      <c r="CB81" s="46">
        <v>40</v>
      </c>
      <c r="CC81" s="47">
        <v>41153</v>
      </c>
      <c r="CD81" s="48">
        <v>0</v>
      </c>
      <c r="CE81" s="56" t="e">
        <f>IF(CB81&lt;'DADOS DOS EMPREENDIMENTOS'!CD$11,0,IF(CB81='DADOS DOS EMPREENDIMENTOS'!CD$11,SUM(CD$41:CD81)*(1-'DADOS DOS EMPREENDIMENTOS'!#REF!-'DADOS DOS EMPREENDIMENTOS'!#REF!)+'DADOS DOS EMPREENDIMENTOS'!#REF!,IF(CB81='DADOS DOS EMPREENDIMENTOS'!CD$12,'DADOS DOS EMPREENDIMENTOS'!#REF!,CD81*(1-'DADOS DOS EMPREENDIMENTOS'!#REF!-'DADOS DOS EMPREENDIMENTOS'!#REF!))))</f>
        <v>#REF!</v>
      </c>
      <c r="CG81" s="46"/>
      <c r="CH81" s="47"/>
      <c r="CI81" s="48"/>
      <c r="CJ81" s="56"/>
    </row>
    <row r="82" spans="15:88" ht="12.75" customHeight="1" thickBot="1" x14ac:dyDescent="0.25">
      <c r="O82" s="36">
        <v>67</v>
      </c>
      <c r="P82" s="341" t="s">
        <v>288</v>
      </c>
      <c r="Q82" s="344">
        <f>VLOOKUP(P82,Apoio!C:E,2,0)</f>
        <v>203091</v>
      </c>
      <c r="R82" s="343">
        <v>240000</v>
      </c>
      <c r="S82" s="206">
        <v>5</v>
      </c>
    </row>
    <row r="83" spans="15:88" ht="12.75" customHeight="1" thickBot="1" x14ac:dyDescent="0.25">
      <c r="O83" s="38">
        <v>68</v>
      </c>
      <c r="P83" s="341" t="s">
        <v>289</v>
      </c>
      <c r="Q83" s="344">
        <f>VLOOKUP(P83,Apoio!C:E,2,0)</f>
        <v>203580.7</v>
      </c>
      <c r="R83" s="343">
        <v>240000</v>
      </c>
      <c r="S83" s="206">
        <v>5</v>
      </c>
    </row>
    <row r="84" spans="15:88" ht="12.75" customHeight="1" thickBot="1" x14ac:dyDescent="0.25">
      <c r="O84" s="36">
        <v>69</v>
      </c>
      <c r="P84" s="341" t="s">
        <v>354</v>
      </c>
      <c r="Q84" s="344">
        <f>VLOOKUP(P84,Apoio!C:E,2,0)</f>
        <v>203580.7</v>
      </c>
      <c r="R84" s="343">
        <v>223000</v>
      </c>
      <c r="S84" s="206">
        <v>5</v>
      </c>
    </row>
    <row r="85" spans="15:88" ht="12.75" customHeight="1" thickBot="1" x14ac:dyDescent="0.25">
      <c r="O85" s="38">
        <v>70</v>
      </c>
      <c r="P85" s="341" t="s">
        <v>355</v>
      </c>
      <c r="Q85" s="344">
        <f>VLOOKUP(P85,Apoio!C:E,2,0)</f>
        <v>203091</v>
      </c>
      <c r="R85" s="343">
        <v>240000</v>
      </c>
      <c r="S85" s="206">
        <v>5</v>
      </c>
    </row>
    <row r="86" spans="15:88" ht="12.75" customHeight="1" thickBot="1" x14ac:dyDescent="0.25">
      <c r="O86" s="36">
        <v>71</v>
      </c>
      <c r="P86" s="341" t="s">
        <v>290</v>
      </c>
      <c r="Q86" s="344">
        <f>VLOOKUP(P86,Apoio!C:E,2,0)</f>
        <v>207911.8</v>
      </c>
      <c r="R86" s="343">
        <v>240000</v>
      </c>
      <c r="S86" s="206">
        <v>5</v>
      </c>
    </row>
    <row r="87" spans="15:88" ht="12.75" customHeight="1" thickBot="1" x14ac:dyDescent="0.25">
      <c r="O87" s="38">
        <v>72</v>
      </c>
      <c r="P87" s="341" t="s">
        <v>291</v>
      </c>
      <c r="Q87" s="344">
        <f>VLOOKUP(P87,Apoio!C:E,2,0)</f>
        <v>205555.4</v>
      </c>
      <c r="R87" s="343">
        <v>240000</v>
      </c>
      <c r="S87" s="206">
        <v>5</v>
      </c>
    </row>
    <row r="88" spans="15:88" ht="12.75" customHeight="1" thickBot="1" x14ac:dyDescent="0.25">
      <c r="O88" s="36">
        <v>73</v>
      </c>
      <c r="P88" s="341" t="s">
        <v>292</v>
      </c>
      <c r="Q88" s="344">
        <f>VLOOKUP(P88,Apoio!C:E,2,0)</f>
        <v>205555.4</v>
      </c>
      <c r="R88" s="343">
        <v>240000</v>
      </c>
      <c r="S88" s="206">
        <v>5</v>
      </c>
    </row>
    <row r="89" spans="15:88" ht="12.75" customHeight="1" thickBot="1" x14ac:dyDescent="0.25">
      <c r="O89" s="38">
        <v>74</v>
      </c>
      <c r="P89" s="341" t="s">
        <v>293</v>
      </c>
      <c r="Q89" s="344">
        <f>VLOOKUP(P89,Apoio!C:E,2,0)</f>
        <v>210304.3</v>
      </c>
      <c r="R89" s="343">
        <v>240000</v>
      </c>
      <c r="S89" s="206">
        <v>5</v>
      </c>
    </row>
    <row r="90" spans="15:88" ht="12.75" customHeight="1" thickBot="1" x14ac:dyDescent="0.25">
      <c r="O90" s="36">
        <v>75</v>
      </c>
      <c r="P90" s="341" t="s">
        <v>294</v>
      </c>
      <c r="Q90" s="344">
        <f>VLOOKUP(P90,Apoio!C:E,2,0)</f>
        <v>210809.1</v>
      </c>
      <c r="R90" s="343">
        <v>240000</v>
      </c>
      <c r="S90" s="206">
        <v>5</v>
      </c>
    </row>
    <row r="91" spans="15:88" ht="12.75" customHeight="1" thickBot="1" x14ac:dyDescent="0.25">
      <c r="O91" s="38">
        <v>76</v>
      </c>
      <c r="P91" s="341" t="s">
        <v>295</v>
      </c>
      <c r="Q91" s="344">
        <f>VLOOKUP(P91,Apoio!C:E,2,0)</f>
        <v>210809.1</v>
      </c>
      <c r="R91" s="343">
        <v>240000</v>
      </c>
      <c r="S91" s="206">
        <v>5</v>
      </c>
    </row>
    <row r="92" spans="15:88" ht="12.75" customHeight="1" thickBot="1" x14ac:dyDescent="0.25">
      <c r="O92" s="36">
        <v>77</v>
      </c>
      <c r="P92" s="341" t="s">
        <v>296</v>
      </c>
      <c r="Q92" s="344">
        <f>VLOOKUP(P92,Apoio!C:E,2,0)</f>
        <v>210304.3</v>
      </c>
      <c r="R92" s="343">
        <v>223000</v>
      </c>
      <c r="S92" s="206">
        <v>5</v>
      </c>
    </row>
    <row r="93" spans="15:88" ht="12.75" customHeight="1" thickBot="1" x14ac:dyDescent="0.25">
      <c r="O93" s="38">
        <v>78</v>
      </c>
      <c r="P93" s="341" t="s">
        <v>297</v>
      </c>
      <c r="Q93" s="344">
        <f>VLOOKUP(P93,Apoio!C:E,2,0)</f>
        <v>210316.79999999999</v>
      </c>
      <c r="R93" s="343">
        <v>240000</v>
      </c>
      <c r="S93" s="206">
        <v>5</v>
      </c>
    </row>
    <row r="94" spans="15:88" ht="12.75" customHeight="1" thickBot="1" x14ac:dyDescent="0.25">
      <c r="O94" s="36">
        <v>79</v>
      </c>
      <c r="P94" s="341" t="s">
        <v>298</v>
      </c>
      <c r="Q94" s="344">
        <f>VLOOKUP(P94,Apoio!C:E,2,0)</f>
        <v>207911.8</v>
      </c>
      <c r="R94" s="343">
        <v>240000</v>
      </c>
      <c r="S94" s="206">
        <v>5</v>
      </c>
    </row>
    <row r="95" spans="15:88" ht="12.75" customHeight="1" thickBot="1" x14ac:dyDescent="0.25">
      <c r="O95" s="38">
        <v>80</v>
      </c>
      <c r="P95" s="341" t="s">
        <v>299</v>
      </c>
      <c r="Q95" s="344">
        <f>VLOOKUP(P95,Apoio!C:E,2,0)</f>
        <v>205555.4</v>
      </c>
      <c r="R95" s="343">
        <v>240000</v>
      </c>
      <c r="S95" s="206">
        <v>5</v>
      </c>
    </row>
    <row r="96" spans="15:88" ht="12.75" customHeight="1" thickBot="1" x14ac:dyDescent="0.25">
      <c r="O96" s="36">
        <v>81</v>
      </c>
      <c r="P96" s="341" t="s">
        <v>300</v>
      </c>
      <c r="Q96" s="344">
        <f>VLOOKUP(P96,Apoio!C:E,2,0)</f>
        <v>205555.4</v>
      </c>
      <c r="R96" s="343">
        <v>240000</v>
      </c>
      <c r="S96" s="206">
        <v>5</v>
      </c>
    </row>
    <row r="97" spans="15:19" ht="12.75" customHeight="1" thickBot="1" x14ac:dyDescent="0.25">
      <c r="O97" s="38">
        <v>82</v>
      </c>
      <c r="P97" s="341" t="s">
        <v>301</v>
      </c>
      <c r="Q97" s="344">
        <f>VLOOKUP(P97,Apoio!C:E,2,0)</f>
        <v>210304.3</v>
      </c>
      <c r="R97" s="343">
        <v>240000</v>
      </c>
      <c r="S97" s="206">
        <v>5</v>
      </c>
    </row>
    <row r="98" spans="15:19" ht="12.75" customHeight="1" thickBot="1" x14ac:dyDescent="0.25">
      <c r="O98" s="36">
        <v>83</v>
      </c>
      <c r="P98" s="341" t="s">
        <v>302</v>
      </c>
      <c r="Q98" s="344">
        <f>VLOOKUP(P98,Apoio!C:E,2,0)</f>
        <v>210809.1</v>
      </c>
      <c r="R98" s="343">
        <v>240000</v>
      </c>
      <c r="S98" s="206">
        <v>5</v>
      </c>
    </row>
    <row r="99" spans="15:19" ht="12.75" customHeight="1" thickBot="1" x14ac:dyDescent="0.25">
      <c r="O99" s="38">
        <v>84</v>
      </c>
      <c r="P99" s="341" t="s">
        <v>303</v>
      </c>
      <c r="Q99" s="344">
        <f>VLOOKUP(P99,Apoio!C:E,2,0)</f>
        <v>210809.1</v>
      </c>
      <c r="R99" s="343">
        <v>240000</v>
      </c>
      <c r="S99" s="206">
        <v>5</v>
      </c>
    </row>
    <row r="100" spans="15:19" ht="12.75" customHeight="1" thickBot="1" x14ac:dyDescent="0.25">
      <c r="O100" s="36">
        <v>85</v>
      </c>
      <c r="P100" s="341" t="s">
        <v>304</v>
      </c>
      <c r="Q100" s="344">
        <f>VLOOKUP(P100,Apoio!C:E,2,0)</f>
        <v>210304.3</v>
      </c>
      <c r="R100" s="343">
        <v>223000</v>
      </c>
      <c r="S100" s="206">
        <v>5</v>
      </c>
    </row>
    <row r="101" spans="15:19" ht="12.75" customHeight="1" thickBot="1" x14ac:dyDescent="0.25">
      <c r="O101" s="38">
        <v>86</v>
      </c>
      <c r="P101" s="341" t="s">
        <v>305</v>
      </c>
      <c r="Q101" s="344">
        <f>VLOOKUP(P101,Apoio!C:E,2,0)</f>
        <v>210316.79999999999</v>
      </c>
      <c r="R101" s="343">
        <v>240000</v>
      </c>
      <c r="S101" s="206">
        <v>5</v>
      </c>
    </row>
    <row r="102" spans="15:19" ht="12.75" customHeight="1" thickBot="1" x14ac:dyDescent="0.25">
      <c r="O102" s="36">
        <v>87</v>
      </c>
      <c r="P102" s="341" t="s">
        <v>306</v>
      </c>
      <c r="Q102" s="344">
        <f>VLOOKUP(P102,Apoio!C:E,2,0)</f>
        <v>209102.1</v>
      </c>
      <c r="R102" s="343">
        <v>240000</v>
      </c>
      <c r="S102" s="206">
        <v>5</v>
      </c>
    </row>
    <row r="103" spans="15:19" ht="12.75" customHeight="1" thickBot="1" x14ac:dyDescent="0.25">
      <c r="O103" s="38">
        <v>88</v>
      </c>
      <c r="P103" s="341" t="s">
        <v>307</v>
      </c>
      <c r="Q103" s="344">
        <f>VLOOKUP(P103,Apoio!C:E,2,0)</f>
        <v>206733.8</v>
      </c>
      <c r="R103" s="343">
        <v>240000</v>
      </c>
      <c r="S103" s="206">
        <v>5</v>
      </c>
    </row>
    <row r="104" spans="15:19" ht="12.75" customHeight="1" thickBot="1" x14ac:dyDescent="0.25">
      <c r="O104" s="36">
        <v>89</v>
      </c>
      <c r="P104" s="341" t="s">
        <v>308</v>
      </c>
      <c r="Q104" s="344">
        <f>VLOOKUP(P104,Apoio!C:E,2,0)</f>
        <v>206733.8</v>
      </c>
      <c r="R104" s="343">
        <v>240000</v>
      </c>
      <c r="S104" s="206">
        <v>5</v>
      </c>
    </row>
    <row r="105" spans="15:19" ht="12.75" customHeight="1" thickBot="1" x14ac:dyDescent="0.25">
      <c r="O105" s="38">
        <v>90</v>
      </c>
      <c r="P105" s="341" t="s">
        <v>309</v>
      </c>
      <c r="Q105" s="344">
        <f>VLOOKUP(P105,Apoio!C:E,2,0)</f>
        <v>211506.5</v>
      </c>
      <c r="R105" s="343">
        <v>240000</v>
      </c>
      <c r="S105" s="206">
        <v>5</v>
      </c>
    </row>
    <row r="106" spans="15:19" ht="12.75" customHeight="1" thickBot="1" x14ac:dyDescent="0.25">
      <c r="O106" s="36">
        <v>91</v>
      </c>
      <c r="P106" s="341" t="s">
        <v>310</v>
      </c>
      <c r="Q106" s="344">
        <f>VLOOKUP(P106,Apoio!C:E,2,0)</f>
        <v>212013.8</v>
      </c>
      <c r="R106" s="343">
        <v>240000</v>
      </c>
      <c r="S106" s="206">
        <v>5</v>
      </c>
    </row>
    <row r="107" spans="15:19" ht="12.75" customHeight="1" thickBot="1" x14ac:dyDescent="0.25">
      <c r="O107" s="38">
        <v>92</v>
      </c>
      <c r="P107" s="341" t="s">
        <v>311</v>
      </c>
      <c r="Q107" s="344">
        <f>VLOOKUP(P107,Apoio!C:E,2,0)</f>
        <v>212013.8</v>
      </c>
      <c r="R107" s="343">
        <v>240000</v>
      </c>
      <c r="S107" s="206">
        <v>5</v>
      </c>
    </row>
    <row r="108" spans="15:19" ht="12.75" customHeight="1" thickBot="1" x14ac:dyDescent="0.25">
      <c r="O108" s="36">
        <v>93</v>
      </c>
      <c r="P108" s="341" t="s">
        <v>312</v>
      </c>
      <c r="Q108" s="344">
        <f>VLOOKUP(P108,Apoio!C:E,2,0)</f>
        <v>211506.5</v>
      </c>
      <c r="R108" s="343">
        <v>223000</v>
      </c>
      <c r="S108" s="206">
        <v>5</v>
      </c>
    </row>
    <row r="109" spans="15:19" ht="12.75" customHeight="1" thickBot="1" x14ac:dyDescent="0.25">
      <c r="O109" s="38">
        <v>94</v>
      </c>
      <c r="P109" s="341" t="s">
        <v>313</v>
      </c>
      <c r="Q109" s="344">
        <f>VLOOKUP(P109,Apoio!C:E,2,0)</f>
        <v>211519.1</v>
      </c>
      <c r="R109" s="343">
        <v>240000</v>
      </c>
      <c r="S109" s="206">
        <v>5</v>
      </c>
    </row>
    <row r="110" spans="15:19" ht="12.75" customHeight="1" thickBot="1" x14ac:dyDescent="0.25">
      <c r="O110" s="36">
        <v>95</v>
      </c>
      <c r="P110" s="341" t="s">
        <v>314</v>
      </c>
      <c r="Q110" s="344">
        <f>VLOOKUP(P110,Apoio!C:E,2,0)</f>
        <v>239240.1</v>
      </c>
      <c r="R110" s="343">
        <v>240000</v>
      </c>
      <c r="S110" s="206">
        <v>5</v>
      </c>
    </row>
    <row r="111" spans="15:19" ht="12.75" customHeight="1" thickBot="1" x14ac:dyDescent="0.25">
      <c r="O111" s="38">
        <v>96</v>
      </c>
      <c r="P111" s="341" t="s">
        <v>315</v>
      </c>
      <c r="Q111" s="344">
        <f>VLOOKUP(P111,Apoio!C:E,2,0)</f>
        <v>236871.8</v>
      </c>
      <c r="R111" s="343">
        <v>240000</v>
      </c>
      <c r="S111" s="206">
        <v>5</v>
      </c>
    </row>
    <row r="112" spans="15:19" ht="12.75" customHeight="1" thickBot="1" x14ac:dyDescent="0.25">
      <c r="O112" s="36">
        <v>97</v>
      </c>
      <c r="P112" s="341" t="s">
        <v>316</v>
      </c>
      <c r="Q112" s="344">
        <f>VLOOKUP(P112,Apoio!C:E,2,0)</f>
        <v>236871.8</v>
      </c>
      <c r="R112" s="343">
        <v>240000</v>
      </c>
      <c r="S112" s="206">
        <v>5</v>
      </c>
    </row>
    <row r="113" spans="15:19" ht="12.75" customHeight="1" thickBot="1" x14ac:dyDescent="0.25">
      <c r="O113" s="38">
        <v>98</v>
      </c>
      <c r="P113" s="341" t="s">
        <v>317</v>
      </c>
      <c r="Q113" s="344">
        <f>VLOOKUP(P113,Apoio!C:E,2,0)</f>
        <v>241644.5</v>
      </c>
      <c r="R113" s="343">
        <v>240000</v>
      </c>
      <c r="S113" s="206">
        <v>5</v>
      </c>
    </row>
    <row r="114" spans="15:19" ht="12.75" customHeight="1" thickBot="1" x14ac:dyDescent="0.25">
      <c r="O114" s="36">
        <v>99</v>
      </c>
      <c r="P114" s="341" t="s">
        <v>318</v>
      </c>
      <c r="Q114" s="344">
        <f>VLOOKUP(P114,Apoio!C:E,2,0)</f>
        <v>242151.8</v>
      </c>
      <c r="R114" s="343">
        <v>240000</v>
      </c>
      <c r="S114" s="206">
        <v>5</v>
      </c>
    </row>
    <row r="115" spans="15:19" ht="12.75" customHeight="1" thickBot="1" x14ac:dyDescent="0.25">
      <c r="O115" s="38">
        <v>100</v>
      </c>
      <c r="P115" s="341" t="s">
        <v>319</v>
      </c>
      <c r="Q115" s="344">
        <f>VLOOKUP(P115,Apoio!C:E,2,0)</f>
        <v>242151.8</v>
      </c>
      <c r="R115" s="343">
        <v>240000</v>
      </c>
      <c r="S115" s="206">
        <v>5</v>
      </c>
    </row>
    <row r="116" spans="15:19" ht="12.75" customHeight="1" thickBot="1" x14ac:dyDescent="0.25">
      <c r="O116" s="36">
        <v>101</v>
      </c>
      <c r="P116" s="341" t="s">
        <v>320</v>
      </c>
      <c r="Q116" s="344">
        <f>VLOOKUP(P116,Apoio!C:E,2,0)</f>
        <v>241644.5</v>
      </c>
      <c r="R116" s="343">
        <v>223000</v>
      </c>
      <c r="S116" s="206">
        <v>5</v>
      </c>
    </row>
    <row r="117" spans="15:19" ht="12.75" customHeight="1" thickBot="1" x14ac:dyDescent="0.25">
      <c r="O117" s="38">
        <v>102</v>
      </c>
      <c r="P117" s="341" t="s">
        <v>321</v>
      </c>
      <c r="Q117" s="344">
        <f>VLOOKUP(P117,Apoio!C:E,2,0)</f>
        <v>241657.1</v>
      </c>
      <c r="R117" s="343">
        <v>240000</v>
      </c>
      <c r="S117" s="206">
        <v>5</v>
      </c>
    </row>
    <row r="118" spans="15:19" ht="12.75" customHeight="1" thickBot="1" x14ac:dyDescent="0.25">
      <c r="O118" s="36">
        <v>103</v>
      </c>
      <c r="P118" s="341" t="s">
        <v>322</v>
      </c>
      <c r="Q118" s="344">
        <f>VLOOKUP(P118,Apoio!C:E,2,0)</f>
        <v>239240.1</v>
      </c>
      <c r="R118" s="343">
        <v>240000</v>
      </c>
      <c r="S118" s="206">
        <v>5</v>
      </c>
    </row>
    <row r="119" spans="15:19" ht="12.75" customHeight="1" thickBot="1" x14ac:dyDescent="0.25">
      <c r="O119" s="38">
        <v>104</v>
      </c>
      <c r="P119" s="341" t="s">
        <v>323</v>
      </c>
      <c r="Q119" s="344">
        <f>VLOOKUP(P119,Apoio!C:E,2,0)</f>
        <v>236871.8</v>
      </c>
      <c r="R119" s="343">
        <v>240000</v>
      </c>
      <c r="S119" s="206">
        <v>5</v>
      </c>
    </row>
    <row r="120" spans="15:19" ht="12.75" customHeight="1" thickBot="1" x14ac:dyDescent="0.25">
      <c r="O120" s="36">
        <v>105</v>
      </c>
      <c r="P120" s="341" t="s">
        <v>324</v>
      </c>
      <c r="Q120" s="344">
        <f>VLOOKUP(P120,Apoio!C:E,2,0)</f>
        <v>236871.8</v>
      </c>
      <c r="R120" s="343">
        <v>240000</v>
      </c>
      <c r="S120" s="206">
        <v>5</v>
      </c>
    </row>
    <row r="121" spans="15:19" ht="12.75" customHeight="1" thickBot="1" x14ac:dyDescent="0.25">
      <c r="O121" s="38">
        <v>106</v>
      </c>
      <c r="P121" s="341" t="s">
        <v>325</v>
      </c>
      <c r="Q121" s="344">
        <f>VLOOKUP(P121,Apoio!C:E,2,0)</f>
        <v>241644.5</v>
      </c>
      <c r="R121" s="343">
        <v>240000</v>
      </c>
      <c r="S121" s="206">
        <v>5</v>
      </c>
    </row>
    <row r="122" spans="15:19" ht="12.75" customHeight="1" thickBot="1" x14ac:dyDescent="0.25">
      <c r="O122" s="36">
        <v>107</v>
      </c>
      <c r="P122" s="341" t="s">
        <v>326</v>
      </c>
      <c r="Q122" s="344">
        <f>VLOOKUP(P122,Apoio!C:E,2,0)</f>
        <v>242151.8</v>
      </c>
      <c r="R122" s="343">
        <v>240000</v>
      </c>
      <c r="S122" s="206">
        <v>5</v>
      </c>
    </row>
    <row r="123" spans="15:19" ht="12.75" customHeight="1" thickBot="1" x14ac:dyDescent="0.25">
      <c r="O123" s="38">
        <v>108</v>
      </c>
      <c r="P123" s="341" t="s">
        <v>327</v>
      </c>
      <c r="Q123" s="344">
        <f>VLOOKUP(P123,Apoio!C:E,2,0)</f>
        <v>242151.8</v>
      </c>
      <c r="R123" s="343">
        <v>240000</v>
      </c>
      <c r="S123" s="206">
        <v>5</v>
      </c>
    </row>
    <row r="124" spans="15:19" ht="12.75" customHeight="1" thickBot="1" x14ac:dyDescent="0.25">
      <c r="O124" s="36">
        <v>109</v>
      </c>
      <c r="P124" s="341" t="s">
        <v>328</v>
      </c>
      <c r="Q124" s="344">
        <f>VLOOKUP(P124,Apoio!C:E,2,0)</f>
        <v>241644.5</v>
      </c>
      <c r="R124" s="343">
        <v>223000</v>
      </c>
      <c r="S124" s="206">
        <v>5</v>
      </c>
    </row>
    <row r="125" spans="15:19" ht="12.75" customHeight="1" thickBot="1" x14ac:dyDescent="0.25">
      <c r="O125" s="38">
        <v>110</v>
      </c>
      <c r="P125" s="341" t="s">
        <v>329</v>
      </c>
      <c r="Q125" s="344">
        <f>VLOOKUP(P125,Apoio!C:E,2,0)</f>
        <v>241657.1</v>
      </c>
      <c r="R125" s="343">
        <v>240000</v>
      </c>
      <c r="S125" s="206">
        <v>5</v>
      </c>
    </row>
    <row r="126" spans="15:19" ht="12.75" customHeight="1" thickBot="1" x14ac:dyDescent="0.25">
      <c r="O126" s="36">
        <v>111</v>
      </c>
      <c r="P126" s="341" t="s">
        <v>330</v>
      </c>
      <c r="Q126" s="344">
        <f>VLOOKUP(P126,Apoio!C:E,2,0)</f>
        <v>240430.3</v>
      </c>
      <c r="R126" s="343">
        <v>240000</v>
      </c>
      <c r="S126" s="206">
        <v>5</v>
      </c>
    </row>
    <row r="127" spans="15:19" ht="12.75" customHeight="1" thickBot="1" x14ac:dyDescent="0.25">
      <c r="O127" s="38">
        <v>112</v>
      </c>
      <c r="P127" s="341" t="s">
        <v>331</v>
      </c>
      <c r="Q127" s="344">
        <f>VLOOKUP(P127,Apoio!C:E,2,0)</f>
        <v>238050.3</v>
      </c>
      <c r="R127" s="343">
        <v>240000</v>
      </c>
      <c r="S127" s="206">
        <v>5</v>
      </c>
    </row>
    <row r="128" spans="15:19" ht="12.75" customHeight="1" thickBot="1" x14ac:dyDescent="0.25">
      <c r="O128" s="36">
        <v>113</v>
      </c>
      <c r="P128" s="341" t="s">
        <v>332</v>
      </c>
      <c r="Q128" s="344">
        <f>VLOOKUP(P128,Apoio!C:E,2,0)</f>
        <v>238050.3</v>
      </c>
      <c r="R128" s="343">
        <v>240000</v>
      </c>
      <c r="S128" s="206">
        <v>5</v>
      </c>
    </row>
    <row r="129" spans="15:19" ht="12.75" customHeight="1" thickBot="1" x14ac:dyDescent="0.25">
      <c r="O129" s="38">
        <v>114</v>
      </c>
      <c r="P129" s="341" t="s">
        <v>333</v>
      </c>
      <c r="Q129" s="344">
        <f>VLOOKUP(P129,Apoio!C:E,2,0)</f>
        <v>242846.7</v>
      </c>
      <c r="R129" s="343">
        <v>240000</v>
      </c>
      <c r="S129" s="206">
        <v>5</v>
      </c>
    </row>
    <row r="130" spans="15:19" ht="12.75" customHeight="1" thickBot="1" x14ac:dyDescent="0.25">
      <c r="O130" s="36">
        <v>115</v>
      </c>
      <c r="P130" s="341" t="s">
        <v>334</v>
      </c>
      <c r="Q130" s="344">
        <f>VLOOKUP(P130,Apoio!C:E,2,0)</f>
        <v>243356.5</v>
      </c>
      <c r="R130" s="343">
        <v>240000</v>
      </c>
      <c r="S130" s="206">
        <v>5</v>
      </c>
    </row>
    <row r="131" spans="15:19" ht="12.75" customHeight="1" thickBot="1" x14ac:dyDescent="0.25">
      <c r="O131" s="38">
        <v>116</v>
      </c>
      <c r="P131" s="341" t="s">
        <v>335</v>
      </c>
      <c r="Q131" s="344">
        <f>VLOOKUP(P131,Apoio!C:E,2,0)</f>
        <v>243356.5</v>
      </c>
      <c r="R131" s="343">
        <v>240000</v>
      </c>
      <c r="S131" s="206">
        <v>5</v>
      </c>
    </row>
    <row r="132" spans="15:19" ht="12.75" customHeight="1" thickBot="1" x14ac:dyDescent="0.25">
      <c r="O132" s="36">
        <v>117</v>
      </c>
      <c r="P132" s="341" t="s">
        <v>336</v>
      </c>
      <c r="Q132" s="344">
        <f>VLOOKUP(P132,Apoio!C:E,2,0)</f>
        <v>242846.7</v>
      </c>
      <c r="R132" s="343">
        <v>223000</v>
      </c>
      <c r="S132" s="206">
        <v>5</v>
      </c>
    </row>
    <row r="133" spans="15:19" ht="12.75" customHeight="1" thickBot="1" x14ac:dyDescent="0.25">
      <c r="O133" s="38">
        <v>118</v>
      </c>
      <c r="P133" s="341" t="s">
        <v>337</v>
      </c>
      <c r="Q133" s="344">
        <f>VLOOKUP(P133,Apoio!C:E,2,0)</f>
        <v>242859.4</v>
      </c>
      <c r="R133" s="343">
        <v>240000</v>
      </c>
      <c r="S133" s="206">
        <v>5</v>
      </c>
    </row>
    <row r="134" spans="15:19" ht="12.75" customHeight="1" thickBot="1" x14ac:dyDescent="0.25">
      <c r="O134" s="36">
        <v>119</v>
      </c>
      <c r="P134" s="341" t="s">
        <v>338</v>
      </c>
      <c r="Q134" s="344">
        <f>VLOOKUP(P134,Apoio!C:E,2,0)</f>
        <v>240430.3</v>
      </c>
      <c r="R134" s="343">
        <v>240000</v>
      </c>
      <c r="S134" s="206">
        <v>5</v>
      </c>
    </row>
    <row r="135" spans="15:19" ht="12.75" customHeight="1" thickBot="1" x14ac:dyDescent="0.25">
      <c r="O135" s="38">
        <v>120</v>
      </c>
      <c r="P135" s="341" t="s">
        <v>339</v>
      </c>
      <c r="Q135" s="344">
        <f>VLOOKUP(P135,Apoio!C:E,2,0)</f>
        <v>238050.3</v>
      </c>
      <c r="R135" s="343">
        <v>240000</v>
      </c>
      <c r="S135" s="206">
        <v>5</v>
      </c>
    </row>
    <row r="136" spans="15:19" ht="12.75" customHeight="1" thickBot="1" x14ac:dyDescent="0.25">
      <c r="O136" s="36">
        <v>121</v>
      </c>
      <c r="P136" s="341" t="s">
        <v>340</v>
      </c>
      <c r="Q136" s="344">
        <f>VLOOKUP(P136,Apoio!C:E,2,0)</f>
        <v>238050.3</v>
      </c>
      <c r="R136" s="343">
        <v>240000</v>
      </c>
      <c r="S136" s="206">
        <v>5</v>
      </c>
    </row>
    <row r="137" spans="15:19" ht="12.75" customHeight="1" thickBot="1" x14ac:dyDescent="0.25">
      <c r="O137" s="38">
        <v>122</v>
      </c>
      <c r="P137" s="341" t="s">
        <v>341</v>
      </c>
      <c r="Q137" s="344">
        <f>VLOOKUP(P137,Apoio!C:E,2,0)</f>
        <v>242846.7</v>
      </c>
      <c r="R137" s="343">
        <v>240000</v>
      </c>
      <c r="S137" s="206">
        <v>5</v>
      </c>
    </row>
    <row r="138" spans="15:19" ht="12.75" customHeight="1" thickBot="1" x14ac:dyDescent="0.25">
      <c r="O138" s="36">
        <v>123</v>
      </c>
      <c r="P138" s="341" t="s">
        <v>342</v>
      </c>
      <c r="Q138" s="344">
        <f>VLOOKUP(P138,Apoio!C:E,2,0)</f>
        <v>243356.5</v>
      </c>
      <c r="R138" s="343">
        <v>240000</v>
      </c>
      <c r="S138" s="206">
        <v>5</v>
      </c>
    </row>
    <row r="139" spans="15:19" ht="12.75" customHeight="1" thickBot="1" x14ac:dyDescent="0.25">
      <c r="O139" s="38">
        <v>124</v>
      </c>
      <c r="P139" s="341" t="s">
        <v>343</v>
      </c>
      <c r="Q139" s="344">
        <f>VLOOKUP(P139,Apoio!C:E,2,0)</f>
        <v>243356.5</v>
      </c>
      <c r="R139" s="343">
        <v>240000</v>
      </c>
      <c r="S139" s="206">
        <v>5</v>
      </c>
    </row>
    <row r="140" spans="15:19" ht="12.75" customHeight="1" thickBot="1" x14ac:dyDescent="0.25">
      <c r="O140" s="36">
        <v>125</v>
      </c>
      <c r="P140" s="341" t="s">
        <v>344</v>
      </c>
      <c r="Q140" s="344">
        <f>VLOOKUP(P140,Apoio!C:E,2,0)</f>
        <v>242846.7</v>
      </c>
      <c r="R140" s="343">
        <v>223000</v>
      </c>
      <c r="S140" s="206">
        <v>5</v>
      </c>
    </row>
    <row r="141" spans="15:19" ht="12.75" customHeight="1" thickBot="1" x14ac:dyDescent="0.25">
      <c r="O141" s="38">
        <v>126</v>
      </c>
      <c r="P141" s="341" t="s">
        <v>345</v>
      </c>
      <c r="Q141" s="344">
        <f>VLOOKUP(P141,Apoio!C:E,2,0)</f>
        <v>242859.4</v>
      </c>
      <c r="R141" s="343">
        <v>240000</v>
      </c>
      <c r="S141" s="206">
        <v>5</v>
      </c>
    </row>
    <row r="142" spans="15:19" ht="12.75" customHeight="1" thickBot="1" x14ac:dyDescent="0.25">
      <c r="O142" s="36">
        <v>127</v>
      </c>
      <c r="P142" s="341"/>
      <c r="Q142" s="344"/>
      <c r="R142" s="342">
        <v>240000</v>
      </c>
      <c r="S142" s="206">
        <v>5</v>
      </c>
    </row>
    <row r="143" spans="15:19" ht="12.75" customHeight="1" thickBot="1" x14ac:dyDescent="0.25">
      <c r="O143" s="38">
        <v>128</v>
      </c>
      <c r="P143" s="341"/>
      <c r="Q143" s="344"/>
      <c r="R143" s="342"/>
      <c r="S143" s="206">
        <v>5</v>
      </c>
    </row>
    <row r="144" spans="15:19" ht="12.75" customHeight="1" thickBot="1" x14ac:dyDescent="0.25">
      <c r="O144" s="36">
        <v>129</v>
      </c>
      <c r="P144" s="341"/>
      <c r="Q144" s="344"/>
      <c r="R144" s="342"/>
      <c r="S144" s="206">
        <v>5</v>
      </c>
    </row>
    <row r="145" spans="15:19" ht="12.75" customHeight="1" thickBot="1" x14ac:dyDescent="0.25">
      <c r="O145" s="38">
        <v>130</v>
      </c>
      <c r="P145" s="341"/>
      <c r="Q145" s="344"/>
      <c r="R145" s="342"/>
      <c r="S145" s="206">
        <v>5</v>
      </c>
    </row>
    <row r="146" spans="15:19" ht="12.75" customHeight="1" thickBot="1" x14ac:dyDescent="0.25">
      <c r="O146" s="36">
        <v>131</v>
      </c>
      <c r="P146" s="341"/>
      <c r="Q146" s="344"/>
      <c r="R146" s="342"/>
      <c r="S146" s="206">
        <v>5</v>
      </c>
    </row>
    <row r="147" spans="15:19" ht="12.75" customHeight="1" thickBot="1" x14ac:dyDescent="0.25">
      <c r="O147" s="38">
        <v>132</v>
      </c>
      <c r="P147" s="341"/>
      <c r="Q147" s="344"/>
      <c r="R147" s="342"/>
      <c r="S147" s="206">
        <v>5</v>
      </c>
    </row>
    <row r="148" spans="15:19" ht="12.75" customHeight="1" thickBot="1" x14ac:dyDescent="0.25">
      <c r="O148" s="36">
        <v>133</v>
      </c>
      <c r="P148" s="341"/>
      <c r="Q148" s="344"/>
      <c r="R148" s="342"/>
      <c r="S148" s="206">
        <v>5</v>
      </c>
    </row>
    <row r="149" spans="15:19" ht="12.75" customHeight="1" thickBot="1" x14ac:dyDescent="0.25">
      <c r="O149" s="38">
        <v>134</v>
      </c>
      <c r="P149" s="341"/>
      <c r="Q149" s="344"/>
      <c r="R149" s="342"/>
      <c r="S149" s="206">
        <v>5</v>
      </c>
    </row>
    <row r="150" spans="15:19" ht="12.75" customHeight="1" thickBot="1" x14ac:dyDescent="0.25">
      <c r="O150" s="36">
        <v>135</v>
      </c>
      <c r="P150" s="341"/>
      <c r="Q150" s="344"/>
      <c r="R150" s="342"/>
      <c r="S150" s="206">
        <v>5</v>
      </c>
    </row>
    <row r="151" spans="15:19" ht="12.75" customHeight="1" thickBot="1" x14ac:dyDescent="0.25">
      <c r="O151" s="38">
        <v>136</v>
      </c>
      <c r="P151" s="341"/>
      <c r="Q151" s="344"/>
      <c r="R151" s="342"/>
      <c r="S151" s="206">
        <v>5</v>
      </c>
    </row>
    <row r="152" spans="15:19" ht="12.75" customHeight="1" thickBot="1" x14ac:dyDescent="0.25">
      <c r="O152" s="36">
        <v>137</v>
      </c>
      <c r="P152" s="341"/>
      <c r="Q152" s="344"/>
      <c r="R152" s="342"/>
      <c r="S152" s="206">
        <v>5</v>
      </c>
    </row>
    <row r="153" spans="15:19" ht="12.75" customHeight="1" thickBot="1" x14ac:dyDescent="0.25">
      <c r="O153" s="38">
        <v>138</v>
      </c>
      <c r="P153" s="341"/>
      <c r="Q153" s="344"/>
      <c r="R153" s="342"/>
      <c r="S153" s="206">
        <v>5</v>
      </c>
    </row>
    <row r="154" spans="15:19" ht="12.75" customHeight="1" thickBot="1" x14ac:dyDescent="0.25">
      <c r="O154" s="36">
        <v>139</v>
      </c>
      <c r="P154" s="341"/>
      <c r="Q154" s="344"/>
      <c r="R154" s="342"/>
      <c r="S154" s="206">
        <v>5</v>
      </c>
    </row>
    <row r="155" spans="15:19" ht="12.75" customHeight="1" thickBot="1" x14ac:dyDescent="0.25">
      <c r="O155" s="38">
        <v>140</v>
      </c>
      <c r="P155" s="341"/>
      <c r="Q155" s="344"/>
      <c r="R155" s="342"/>
      <c r="S155" s="206">
        <v>5</v>
      </c>
    </row>
    <row r="156" spans="15:19" ht="12.75" customHeight="1" thickBot="1" x14ac:dyDescent="0.25">
      <c r="O156" s="36">
        <v>141</v>
      </c>
      <c r="P156" s="341"/>
      <c r="Q156" s="344"/>
      <c r="R156" s="342"/>
      <c r="S156" s="206">
        <v>5</v>
      </c>
    </row>
    <row r="157" spans="15:19" ht="12.75" customHeight="1" thickBot="1" x14ac:dyDescent="0.25">
      <c r="O157" s="38">
        <v>142</v>
      </c>
      <c r="P157" s="341"/>
      <c r="Q157" s="344"/>
      <c r="R157" s="342"/>
      <c r="S157" s="206">
        <v>5</v>
      </c>
    </row>
    <row r="158" spans="15:19" ht="12.75" customHeight="1" thickBot="1" x14ac:dyDescent="0.25">
      <c r="O158" s="36">
        <v>143</v>
      </c>
      <c r="P158" s="341"/>
      <c r="Q158" s="344"/>
      <c r="R158" s="342"/>
      <c r="S158" s="206">
        <v>5</v>
      </c>
    </row>
    <row r="159" spans="15:19" ht="12.75" customHeight="1" thickBot="1" x14ac:dyDescent="0.25">
      <c r="O159" s="38">
        <v>144</v>
      </c>
      <c r="P159" s="341"/>
      <c r="Q159" s="344"/>
      <c r="R159" s="342"/>
      <c r="S159" s="206">
        <v>5</v>
      </c>
    </row>
    <row r="160" spans="15:19" ht="12.75" customHeight="1" thickBot="1" x14ac:dyDescent="0.25">
      <c r="O160" s="36">
        <v>145</v>
      </c>
      <c r="P160" s="341"/>
      <c r="Q160" s="344"/>
      <c r="R160" s="342"/>
      <c r="S160" s="206">
        <v>5</v>
      </c>
    </row>
    <row r="161" spans="15:19" ht="12.75" customHeight="1" thickBot="1" x14ac:dyDescent="0.25">
      <c r="O161" s="38">
        <v>146</v>
      </c>
      <c r="P161" s="341"/>
      <c r="Q161" s="344"/>
      <c r="R161" s="342"/>
      <c r="S161" s="206">
        <v>5</v>
      </c>
    </row>
    <row r="162" spans="15:19" ht="12.75" customHeight="1" thickBot="1" x14ac:dyDescent="0.25">
      <c r="O162" s="36">
        <v>147</v>
      </c>
      <c r="P162" s="341"/>
      <c r="Q162" s="344"/>
      <c r="R162" s="342"/>
      <c r="S162" s="206">
        <v>5</v>
      </c>
    </row>
    <row r="163" spans="15:19" ht="12.75" customHeight="1" thickBot="1" x14ac:dyDescent="0.25">
      <c r="O163" s="38">
        <v>148</v>
      </c>
      <c r="P163" s="341"/>
      <c r="Q163" s="344"/>
      <c r="R163" s="342"/>
      <c r="S163" s="206">
        <v>5</v>
      </c>
    </row>
    <row r="164" spans="15:19" ht="12.75" customHeight="1" thickBot="1" x14ac:dyDescent="0.25">
      <c r="O164" s="36">
        <v>149</v>
      </c>
      <c r="P164" s="341"/>
      <c r="Q164" s="344"/>
      <c r="R164" s="342"/>
      <c r="S164" s="206">
        <v>5</v>
      </c>
    </row>
    <row r="165" spans="15:19" ht="12.75" customHeight="1" thickBot="1" x14ac:dyDescent="0.25">
      <c r="O165" s="38">
        <v>150</v>
      </c>
      <c r="P165" s="341"/>
      <c r="Q165" s="344"/>
      <c r="R165" s="342"/>
      <c r="S165" s="206">
        <v>5</v>
      </c>
    </row>
    <row r="166" spans="15:19" ht="12.75" customHeight="1" thickBot="1" x14ac:dyDescent="0.25">
      <c r="O166" s="36">
        <v>151</v>
      </c>
      <c r="P166" s="341"/>
      <c r="Q166" s="344"/>
      <c r="R166" s="342"/>
      <c r="S166" s="206">
        <v>5</v>
      </c>
    </row>
    <row r="167" spans="15:19" ht="12.75" customHeight="1" thickBot="1" x14ac:dyDescent="0.25">
      <c r="O167" s="38">
        <v>152</v>
      </c>
      <c r="P167" s="341"/>
      <c r="Q167" s="344"/>
      <c r="R167" s="342"/>
      <c r="S167" s="206">
        <v>5</v>
      </c>
    </row>
    <row r="168" spans="15:19" ht="12.75" customHeight="1" thickBot="1" x14ac:dyDescent="0.25">
      <c r="O168" s="36">
        <v>153</v>
      </c>
      <c r="P168" s="341"/>
      <c r="Q168" s="344"/>
      <c r="R168" s="342"/>
      <c r="S168" s="206">
        <v>5</v>
      </c>
    </row>
    <row r="169" spans="15:19" ht="12.75" customHeight="1" thickBot="1" x14ac:dyDescent="0.25">
      <c r="O169" s="38">
        <v>154</v>
      </c>
      <c r="P169" s="341"/>
      <c r="Q169" s="344"/>
      <c r="R169" s="342"/>
      <c r="S169" s="206">
        <v>5</v>
      </c>
    </row>
    <row r="170" spans="15:19" ht="12.75" customHeight="1" thickBot="1" x14ac:dyDescent="0.25">
      <c r="O170" s="36">
        <v>155</v>
      </c>
      <c r="P170" s="341"/>
      <c r="Q170" s="344"/>
      <c r="R170" s="342"/>
      <c r="S170" s="206">
        <v>5</v>
      </c>
    </row>
    <row r="171" spans="15:19" ht="12.75" customHeight="1" thickBot="1" x14ac:dyDescent="0.25">
      <c r="O171" s="38">
        <v>156</v>
      </c>
      <c r="P171" s="341"/>
      <c r="Q171" s="344"/>
      <c r="R171" s="342"/>
      <c r="S171" s="206">
        <v>5</v>
      </c>
    </row>
    <row r="172" spans="15:19" ht="12.75" customHeight="1" thickBot="1" x14ac:dyDescent="0.25">
      <c r="O172" s="36">
        <v>157</v>
      </c>
      <c r="P172" s="341"/>
      <c r="Q172" s="344"/>
      <c r="R172" s="342"/>
      <c r="S172" s="206">
        <v>5</v>
      </c>
    </row>
    <row r="173" spans="15:19" ht="12.75" customHeight="1" thickBot="1" x14ac:dyDescent="0.25">
      <c r="O173" s="38">
        <v>158</v>
      </c>
      <c r="P173" s="341"/>
      <c r="Q173" s="344"/>
      <c r="R173" s="342"/>
      <c r="S173" s="206">
        <v>5</v>
      </c>
    </row>
    <row r="174" spans="15:19" ht="12.75" customHeight="1" thickBot="1" x14ac:dyDescent="0.25">
      <c r="O174" s="36">
        <v>159</v>
      </c>
      <c r="P174" s="341"/>
      <c r="Q174" s="344"/>
      <c r="R174" s="342"/>
      <c r="S174" s="206">
        <v>5</v>
      </c>
    </row>
    <row r="175" spans="15:19" ht="12.75" customHeight="1" thickBot="1" x14ac:dyDescent="0.25">
      <c r="O175" s="38">
        <v>160</v>
      </c>
      <c r="P175" s="341"/>
      <c r="Q175" s="344"/>
      <c r="R175" s="342"/>
      <c r="S175" s="206">
        <v>5</v>
      </c>
    </row>
    <row r="176" spans="15:19" ht="12.75" customHeight="1" thickBot="1" x14ac:dyDescent="0.25">
      <c r="O176" s="36">
        <v>161</v>
      </c>
      <c r="P176" s="341"/>
      <c r="Q176" s="344"/>
      <c r="R176" s="342"/>
      <c r="S176" s="206">
        <v>5</v>
      </c>
    </row>
    <row r="177" spans="15:27" ht="12.75" customHeight="1" thickBot="1" x14ac:dyDescent="0.25">
      <c r="O177" s="38">
        <v>162</v>
      </c>
      <c r="P177" s="341"/>
      <c r="Q177" s="344"/>
      <c r="R177" s="342"/>
      <c r="S177" s="206">
        <v>5</v>
      </c>
    </row>
    <row r="178" spans="15:27" ht="13.5" thickBot="1" x14ac:dyDescent="0.25">
      <c r="O178" s="36">
        <v>163</v>
      </c>
      <c r="P178" s="341"/>
      <c r="Q178" s="344"/>
      <c r="R178" s="342"/>
      <c r="S178" s="206">
        <v>5</v>
      </c>
      <c r="U178" s="215"/>
      <c r="V178" s="204"/>
      <c r="Z178" s="215"/>
      <c r="AA178" s="321"/>
    </row>
    <row r="179" spans="15:27" ht="13.5" thickBot="1" x14ac:dyDescent="0.25">
      <c r="O179" s="38">
        <v>164</v>
      </c>
      <c r="P179" s="341"/>
      <c r="Q179" s="344"/>
      <c r="R179" s="342"/>
      <c r="S179" s="206">
        <v>5</v>
      </c>
      <c r="U179" s="215"/>
      <c r="V179" s="204"/>
      <c r="Z179" s="215"/>
      <c r="AA179" s="321"/>
    </row>
    <row r="180" spans="15:27" ht="13.5" thickBot="1" x14ac:dyDescent="0.25">
      <c r="O180" s="36">
        <v>165</v>
      </c>
      <c r="P180" s="341"/>
      <c r="Q180" s="344"/>
      <c r="R180" s="342"/>
      <c r="S180" s="206">
        <v>5</v>
      </c>
      <c r="U180" s="215"/>
      <c r="V180" s="204"/>
      <c r="Z180" s="215"/>
      <c r="AA180" s="321"/>
    </row>
    <row r="181" spans="15:27" ht="13.5" thickBot="1" x14ac:dyDescent="0.25">
      <c r="O181" s="38">
        <v>166</v>
      </c>
      <c r="P181" s="341"/>
      <c r="Q181" s="344"/>
      <c r="R181" s="342"/>
      <c r="S181" s="206">
        <v>5</v>
      </c>
      <c r="U181" s="215"/>
      <c r="V181" s="204"/>
      <c r="Z181" s="215"/>
      <c r="AA181" s="321"/>
    </row>
    <row r="182" spans="15:27" ht="13.5" thickBot="1" x14ac:dyDescent="0.25">
      <c r="O182" s="36">
        <v>167</v>
      </c>
      <c r="P182" s="341"/>
      <c r="Q182" s="344"/>
      <c r="R182" s="342"/>
      <c r="S182" s="206">
        <v>5</v>
      </c>
      <c r="U182" s="215"/>
      <c r="V182" s="204"/>
      <c r="Z182" s="215"/>
      <c r="AA182" s="321"/>
    </row>
    <row r="183" spans="15:27" ht="13.5" thickBot="1" x14ac:dyDescent="0.25">
      <c r="O183" s="38">
        <v>168</v>
      </c>
      <c r="P183" s="341"/>
      <c r="Q183" s="344"/>
      <c r="R183" s="342"/>
      <c r="S183" s="206">
        <v>5</v>
      </c>
      <c r="U183" s="215"/>
      <c r="V183" s="204"/>
      <c r="Z183" s="215"/>
      <c r="AA183" s="321"/>
    </row>
    <row r="184" spans="15:27" ht="13.5" thickBot="1" x14ac:dyDescent="0.25">
      <c r="O184" s="36">
        <v>169</v>
      </c>
      <c r="P184" s="341"/>
      <c r="Q184" s="344"/>
      <c r="R184" s="342"/>
      <c r="S184" s="206">
        <v>5</v>
      </c>
      <c r="U184" s="215"/>
      <c r="V184" s="204"/>
      <c r="Z184" s="215"/>
      <c r="AA184" s="321"/>
    </row>
    <row r="185" spans="15:27" ht="13.5" thickBot="1" x14ac:dyDescent="0.25">
      <c r="O185" s="38">
        <v>170</v>
      </c>
      <c r="P185" s="341"/>
      <c r="Q185" s="344"/>
      <c r="R185" s="342"/>
      <c r="S185" s="206">
        <v>5</v>
      </c>
      <c r="U185" s="215"/>
      <c r="V185" s="204"/>
      <c r="Z185" s="215"/>
      <c r="AA185" s="321"/>
    </row>
    <row r="186" spans="15:27" ht="13.5" thickBot="1" x14ac:dyDescent="0.25">
      <c r="O186" s="36">
        <v>171</v>
      </c>
      <c r="P186" s="341"/>
      <c r="Q186" s="344"/>
      <c r="R186" s="342"/>
      <c r="S186" s="206">
        <v>5</v>
      </c>
      <c r="U186" s="215"/>
      <c r="V186" s="204"/>
      <c r="Z186" s="215"/>
      <c r="AA186" s="321"/>
    </row>
    <row r="187" spans="15:27" ht="13.5" thickBot="1" x14ac:dyDescent="0.25">
      <c r="O187" s="38">
        <v>172</v>
      </c>
      <c r="P187" s="341"/>
      <c r="Q187" s="344"/>
      <c r="R187" s="342"/>
      <c r="S187" s="206">
        <v>5</v>
      </c>
      <c r="U187" s="215"/>
      <c r="V187" s="204"/>
      <c r="Z187" s="215"/>
      <c r="AA187" s="321"/>
    </row>
    <row r="188" spans="15:27" ht="13.5" thickBot="1" x14ac:dyDescent="0.25">
      <c r="O188" s="36">
        <v>173</v>
      </c>
      <c r="P188" s="341"/>
      <c r="Q188" s="344"/>
      <c r="R188" s="342"/>
      <c r="S188" s="206">
        <v>5</v>
      </c>
      <c r="U188" s="215"/>
      <c r="V188" s="204"/>
      <c r="Z188" s="215"/>
      <c r="AA188" s="321"/>
    </row>
    <row r="189" spans="15:27" ht="13.5" thickBot="1" x14ac:dyDescent="0.25">
      <c r="O189" s="38">
        <v>174</v>
      </c>
      <c r="P189" s="341"/>
      <c r="Q189" s="344"/>
      <c r="R189" s="342"/>
      <c r="S189" s="206">
        <v>5</v>
      </c>
    </row>
    <row r="190" spans="15:27" ht="13.5" thickBot="1" x14ac:dyDescent="0.25">
      <c r="O190" s="36">
        <v>175</v>
      </c>
      <c r="P190" s="341"/>
      <c r="Q190" s="344"/>
      <c r="R190" s="342"/>
      <c r="S190" s="206">
        <v>5</v>
      </c>
    </row>
    <row r="191" spans="15:27" ht="13.5" thickBot="1" x14ac:dyDescent="0.25">
      <c r="O191" s="38">
        <v>176</v>
      </c>
      <c r="P191" s="341"/>
      <c r="Q191" s="344"/>
      <c r="R191" s="342"/>
      <c r="S191" s="206">
        <v>5</v>
      </c>
    </row>
    <row r="192" spans="15:27" ht="13.5" thickBot="1" x14ac:dyDescent="0.25">
      <c r="O192" s="36">
        <v>177</v>
      </c>
      <c r="P192" s="341"/>
      <c r="Q192" s="344"/>
      <c r="R192" s="342"/>
      <c r="S192" s="206">
        <v>5</v>
      </c>
    </row>
    <row r="193" spans="15:19" ht="13.5" thickBot="1" x14ac:dyDescent="0.25">
      <c r="O193" s="38">
        <v>178</v>
      </c>
      <c r="P193" s="341"/>
      <c r="Q193" s="344"/>
      <c r="R193" s="342"/>
      <c r="S193" s="206">
        <v>5</v>
      </c>
    </row>
    <row r="194" spans="15:19" ht="13.5" thickBot="1" x14ac:dyDescent="0.25">
      <c r="O194" s="36">
        <v>179</v>
      </c>
      <c r="P194" s="341"/>
      <c r="Q194" s="344"/>
      <c r="R194" s="342"/>
      <c r="S194" s="206">
        <v>5</v>
      </c>
    </row>
    <row r="195" spans="15:19" ht="13.5" thickBot="1" x14ac:dyDescent="0.25">
      <c r="O195" s="38">
        <v>180</v>
      </c>
      <c r="P195" s="341"/>
      <c r="Q195" s="344"/>
      <c r="R195" s="342"/>
      <c r="S195" s="206">
        <v>5</v>
      </c>
    </row>
    <row r="196" spans="15:19" ht="13.5" thickBot="1" x14ac:dyDescent="0.25">
      <c r="O196" s="36">
        <v>181</v>
      </c>
      <c r="P196" s="341"/>
      <c r="Q196" s="344"/>
      <c r="R196" s="342"/>
      <c r="S196" s="206">
        <v>5</v>
      </c>
    </row>
    <row r="197" spans="15:19" ht="13.5" thickBot="1" x14ac:dyDescent="0.25">
      <c r="O197" s="38">
        <v>182</v>
      </c>
      <c r="P197" s="341"/>
      <c r="Q197" s="344"/>
      <c r="R197" s="342"/>
      <c r="S197" s="206">
        <v>5</v>
      </c>
    </row>
    <row r="198" spans="15:19" ht="13.5" thickBot="1" x14ac:dyDescent="0.25">
      <c r="O198" s="36">
        <v>183</v>
      </c>
      <c r="P198" s="341"/>
      <c r="Q198" s="344"/>
      <c r="R198" s="342"/>
      <c r="S198" s="206">
        <v>5</v>
      </c>
    </row>
    <row r="199" spans="15:19" ht="13.5" thickBot="1" x14ac:dyDescent="0.25">
      <c r="O199" s="38">
        <v>184</v>
      </c>
      <c r="P199" s="341"/>
      <c r="Q199" s="344"/>
      <c r="R199" s="342"/>
      <c r="S199" s="206">
        <v>5</v>
      </c>
    </row>
    <row r="200" spans="15:19" ht="13.5" thickBot="1" x14ac:dyDescent="0.25">
      <c r="O200" s="36">
        <v>185</v>
      </c>
      <c r="P200" s="341"/>
      <c r="Q200" s="344"/>
      <c r="R200" s="342"/>
      <c r="S200" s="206">
        <v>5</v>
      </c>
    </row>
    <row r="201" spans="15:19" ht="13.5" thickBot="1" x14ac:dyDescent="0.25">
      <c r="O201" s="38">
        <v>186</v>
      </c>
      <c r="P201" s="341"/>
      <c r="Q201" s="344"/>
      <c r="R201" s="342"/>
      <c r="S201" s="206">
        <v>5</v>
      </c>
    </row>
    <row r="202" spans="15:19" ht="13.5" thickBot="1" x14ac:dyDescent="0.25">
      <c r="O202" s="36">
        <v>187</v>
      </c>
      <c r="P202" s="341"/>
      <c r="Q202" s="344"/>
      <c r="R202" s="342"/>
      <c r="S202" s="206">
        <v>5</v>
      </c>
    </row>
    <row r="203" spans="15:19" ht="13.5" thickBot="1" x14ac:dyDescent="0.25">
      <c r="O203" s="38">
        <v>188</v>
      </c>
      <c r="P203" s="341"/>
      <c r="Q203" s="344"/>
      <c r="R203" s="342"/>
      <c r="S203" s="206">
        <v>5</v>
      </c>
    </row>
    <row r="204" spans="15:19" ht="13.5" thickBot="1" x14ac:dyDescent="0.25">
      <c r="O204" s="36">
        <v>189</v>
      </c>
      <c r="P204" s="341"/>
      <c r="Q204" s="344"/>
      <c r="R204" s="342"/>
      <c r="S204" s="206">
        <v>5</v>
      </c>
    </row>
    <row r="205" spans="15:19" ht="13.5" thickBot="1" x14ac:dyDescent="0.25">
      <c r="O205" s="38">
        <v>190</v>
      </c>
      <c r="P205" s="341"/>
      <c r="Q205" s="344"/>
      <c r="R205" s="342"/>
      <c r="S205" s="206">
        <v>5</v>
      </c>
    </row>
    <row r="206" spans="15:19" ht="13.5" thickBot="1" x14ac:dyDescent="0.25">
      <c r="O206" s="36">
        <v>191</v>
      </c>
      <c r="P206" s="341"/>
      <c r="Q206" s="344"/>
      <c r="R206" s="342"/>
      <c r="S206" s="206">
        <v>5</v>
      </c>
    </row>
    <row r="207" spans="15:19" ht="13.5" thickBot="1" x14ac:dyDescent="0.25">
      <c r="O207" s="38">
        <v>192</v>
      </c>
      <c r="P207" s="341"/>
      <c r="Q207" s="344"/>
      <c r="R207" s="342"/>
      <c r="S207" s="206">
        <v>5</v>
      </c>
    </row>
    <row r="208" spans="15:19" ht="13.5" thickBot="1" x14ac:dyDescent="0.25">
      <c r="O208" s="36">
        <v>193</v>
      </c>
      <c r="P208" s="341"/>
      <c r="Q208" s="344"/>
      <c r="R208" s="342"/>
      <c r="S208" s="206">
        <v>5</v>
      </c>
    </row>
    <row r="209" spans="15:19" ht="13.5" thickBot="1" x14ac:dyDescent="0.25">
      <c r="O209" s="38">
        <v>194</v>
      </c>
      <c r="P209" s="341"/>
      <c r="Q209" s="344"/>
      <c r="R209" s="342"/>
      <c r="S209" s="206">
        <v>5</v>
      </c>
    </row>
    <row r="210" spans="15:19" ht="13.5" thickBot="1" x14ac:dyDescent="0.25">
      <c r="O210" s="36">
        <v>195</v>
      </c>
      <c r="P210" s="341"/>
      <c r="Q210" s="344"/>
      <c r="R210" s="342"/>
      <c r="S210" s="206">
        <v>5</v>
      </c>
    </row>
    <row r="211" spans="15:19" ht="13.5" thickBot="1" x14ac:dyDescent="0.25">
      <c r="O211" s="38">
        <v>196</v>
      </c>
      <c r="P211" s="341"/>
      <c r="Q211" s="344"/>
      <c r="R211" s="342"/>
      <c r="S211" s="206">
        <v>5</v>
      </c>
    </row>
    <row r="212" spans="15:19" ht="13.5" thickBot="1" x14ac:dyDescent="0.25">
      <c r="O212" s="36">
        <v>197</v>
      </c>
      <c r="P212" s="341"/>
      <c r="Q212" s="344"/>
      <c r="R212" s="342"/>
      <c r="S212" s="206">
        <v>5</v>
      </c>
    </row>
    <row r="213" spans="15:19" ht="13.5" thickBot="1" x14ac:dyDescent="0.25">
      <c r="O213" s="38">
        <v>198</v>
      </c>
      <c r="P213" s="341"/>
      <c r="Q213" s="344"/>
      <c r="R213" s="342"/>
      <c r="S213" s="206">
        <v>5</v>
      </c>
    </row>
    <row r="214" spans="15:19" ht="13.5" thickBot="1" x14ac:dyDescent="0.25">
      <c r="O214" s="36">
        <v>199</v>
      </c>
      <c r="P214" s="341"/>
      <c r="Q214" s="344"/>
      <c r="R214" s="342"/>
      <c r="S214" s="206">
        <v>5</v>
      </c>
    </row>
    <row r="215" spans="15:19" ht="13.5" thickBot="1" x14ac:dyDescent="0.25">
      <c r="O215" s="38">
        <v>200</v>
      </c>
      <c r="P215" s="341"/>
      <c r="Q215" s="344"/>
      <c r="R215" s="342"/>
      <c r="S215" s="206">
        <v>5</v>
      </c>
    </row>
    <row r="216" spans="15:19" ht="13.5" thickBot="1" x14ac:dyDescent="0.25">
      <c r="O216" s="36">
        <v>201</v>
      </c>
      <c r="P216" s="341"/>
      <c r="Q216" s="344"/>
      <c r="R216" s="342"/>
      <c r="S216" s="206">
        <v>5</v>
      </c>
    </row>
    <row r="217" spans="15:19" ht="13.5" thickBot="1" x14ac:dyDescent="0.25">
      <c r="O217" s="38">
        <v>202</v>
      </c>
      <c r="P217" s="341"/>
      <c r="Q217" s="344"/>
      <c r="R217" s="342"/>
      <c r="S217" s="206">
        <v>5</v>
      </c>
    </row>
    <row r="218" spans="15:19" ht="13.5" thickBot="1" x14ac:dyDescent="0.25">
      <c r="O218" s="36">
        <v>203</v>
      </c>
      <c r="P218" s="341"/>
      <c r="Q218" s="344"/>
      <c r="R218" s="342"/>
      <c r="S218" s="206">
        <v>5</v>
      </c>
    </row>
    <row r="219" spans="15:19" ht="13.5" thickBot="1" x14ac:dyDescent="0.25">
      <c r="O219" s="38">
        <v>204</v>
      </c>
      <c r="P219" s="341"/>
      <c r="Q219" s="344"/>
      <c r="R219" s="342"/>
      <c r="S219" s="206">
        <v>5</v>
      </c>
    </row>
    <row r="220" spans="15:19" ht="13.5" thickBot="1" x14ac:dyDescent="0.25">
      <c r="O220" s="36">
        <v>205</v>
      </c>
      <c r="P220" s="341"/>
      <c r="Q220" s="344"/>
      <c r="R220" s="342"/>
      <c r="S220" s="206">
        <v>5</v>
      </c>
    </row>
    <row r="221" spans="15:19" ht="13.5" thickBot="1" x14ac:dyDescent="0.25">
      <c r="O221" s="38">
        <v>206</v>
      </c>
      <c r="P221" s="341"/>
      <c r="Q221" s="344"/>
      <c r="R221" s="342"/>
      <c r="S221" s="206">
        <v>5</v>
      </c>
    </row>
    <row r="222" spans="15:19" ht="13.5" thickBot="1" x14ac:dyDescent="0.25">
      <c r="O222" s="36">
        <v>207</v>
      </c>
      <c r="P222" s="341"/>
      <c r="Q222" s="344"/>
      <c r="R222" s="342"/>
      <c r="S222" s="206">
        <v>5</v>
      </c>
    </row>
    <row r="223" spans="15:19" ht="13.5" thickBot="1" x14ac:dyDescent="0.25">
      <c r="O223" s="38">
        <v>208</v>
      </c>
      <c r="P223" s="341"/>
      <c r="Q223" s="344"/>
      <c r="R223" s="342"/>
      <c r="S223" s="206">
        <v>5</v>
      </c>
    </row>
    <row r="224" spans="15:19" ht="13.5" thickBot="1" x14ac:dyDescent="0.25">
      <c r="O224" s="36">
        <v>209</v>
      </c>
      <c r="P224" s="341"/>
      <c r="Q224" s="344"/>
      <c r="R224" s="342"/>
      <c r="S224" s="206">
        <v>5</v>
      </c>
    </row>
    <row r="225" spans="15:19" ht="13.5" thickBot="1" x14ac:dyDescent="0.25">
      <c r="O225" s="38">
        <v>210</v>
      </c>
      <c r="P225" s="341"/>
      <c r="Q225" s="344"/>
      <c r="R225" s="342"/>
      <c r="S225" s="206">
        <v>5</v>
      </c>
    </row>
    <row r="226" spans="15:19" ht="13.5" thickBot="1" x14ac:dyDescent="0.25">
      <c r="O226" s="36">
        <v>211</v>
      </c>
      <c r="P226" s="341"/>
      <c r="Q226" s="344"/>
      <c r="R226" s="342"/>
      <c r="S226" s="206">
        <v>5</v>
      </c>
    </row>
    <row r="227" spans="15:19" ht="13.5" thickBot="1" x14ac:dyDescent="0.25">
      <c r="O227" s="38">
        <v>212</v>
      </c>
      <c r="P227" s="341"/>
      <c r="Q227" s="344"/>
      <c r="R227" s="342"/>
      <c r="S227" s="206">
        <v>5</v>
      </c>
    </row>
    <row r="228" spans="15:19" ht="13.5" thickBot="1" x14ac:dyDescent="0.25">
      <c r="O228" s="36">
        <v>213</v>
      </c>
      <c r="P228" s="341"/>
      <c r="Q228" s="344"/>
      <c r="R228" s="342"/>
      <c r="S228" s="206">
        <v>5</v>
      </c>
    </row>
    <row r="229" spans="15:19" ht="13.5" thickBot="1" x14ac:dyDescent="0.25">
      <c r="O229" s="38">
        <v>214</v>
      </c>
      <c r="P229" s="341"/>
      <c r="Q229" s="344"/>
      <c r="R229" s="342"/>
      <c r="S229" s="206">
        <v>5</v>
      </c>
    </row>
    <row r="230" spans="15:19" ht="13.5" thickBot="1" x14ac:dyDescent="0.25">
      <c r="O230" s="36">
        <v>215</v>
      </c>
      <c r="P230" s="341"/>
      <c r="Q230" s="344"/>
      <c r="R230" s="342"/>
      <c r="S230" s="206">
        <v>5</v>
      </c>
    </row>
    <row r="231" spans="15:19" ht="13.5" thickBot="1" x14ac:dyDescent="0.25">
      <c r="O231" s="38">
        <v>216</v>
      </c>
      <c r="P231" s="341"/>
      <c r="Q231" s="344"/>
      <c r="R231" s="342"/>
      <c r="S231" s="206">
        <v>5</v>
      </c>
    </row>
    <row r="232" spans="15:19" ht="13.5" thickBot="1" x14ac:dyDescent="0.25">
      <c r="O232" s="36">
        <v>217</v>
      </c>
      <c r="P232" s="341"/>
      <c r="Q232" s="344"/>
      <c r="R232" s="342"/>
      <c r="S232" s="206">
        <v>5</v>
      </c>
    </row>
    <row r="233" spans="15:19" ht="13.5" thickBot="1" x14ac:dyDescent="0.25">
      <c r="O233" s="38">
        <v>218</v>
      </c>
      <c r="P233" s="341"/>
      <c r="Q233" s="344"/>
      <c r="R233" s="342"/>
      <c r="S233" s="206">
        <v>5</v>
      </c>
    </row>
    <row r="234" spans="15:19" ht="13.5" thickBot="1" x14ac:dyDescent="0.25">
      <c r="O234" s="36">
        <v>219</v>
      </c>
      <c r="P234" s="341"/>
      <c r="Q234" s="344"/>
      <c r="R234" s="342"/>
      <c r="S234" s="206">
        <v>5</v>
      </c>
    </row>
    <row r="235" spans="15:19" ht="13.5" thickBot="1" x14ac:dyDescent="0.25">
      <c r="O235" s="38">
        <v>220</v>
      </c>
      <c r="P235" s="341"/>
      <c r="Q235" s="344"/>
      <c r="R235" s="342"/>
      <c r="S235" s="206">
        <v>5</v>
      </c>
    </row>
    <row r="236" spans="15:19" ht="13.5" thickBot="1" x14ac:dyDescent="0.25">
      <c r="O236" s="36">
        <v>221</v>
      </c>
      <c r="P236" s="341"/>
      <c r="Q236" s="344"/>
      <c r="R236" s="342"/>
      <c r="S236" s="206">
        <v>5</v>
      </c>
    </row>
    <row r="237" spans="15:19" ht="13.5" thickBot="1" x14ac:dyDescent="0.25">
      <c r="O237" s="38">
        <v>222</v>
      </c>
      <c r="P237" s="341"/>
      <c r="Q237" s="344"/>
      <c r="R237" s="342"/>
      <c r="S237" s="206">
        <v>5</v>
      </c>
    </row>
    <row r="238" spans="15:19" ht="13.5" thickBot="1" x14ac:dyDescent="0.25">
      <c r="O238" s="36">
        <v>223</v>
      </c>
      <c r="P238" s="341"/>
      <c r="Q238" s="344"/>
      <c r="R238" s="342"/>
      <c r="S238" s="206">
        <v>5</v>
      </c>
    </row>
    <row r="239" spans="15:19" ht="13.5" thickBot="1" x14ac:dyDescent="0.25">
      <c r="O239" s="38">
        <v>224</v>
      </c>
      <c r="P239" s="341"/>
      <c r="Q239" s="344"/>
      <c r="R239" s="342"/>
      <c r="S239" s="206">
        <v>5</v>
      </c>
    </row>
    <row r="240" spans="15:19" ht="13.5" thickBot="1" x14ac:dyDescent="0.25">
      <c r="O240" s="36">
        <v>225</v>
      </c>
      <c r="P240" s="341"/>
      <c r="Q240" s="344"/>
      <c r="R240" s="342"/>
      <c r="S240" s="206">
        <v>5</v>
      </c>
    </row>
    <row r="241" spans="15:19" ht="13.5" thickBot="1" x14ac:dyDescent="0.25">
      <c r="O241" s="38">
        <v>226</v>
      </c>
      <c r="P241" s="341"/>
      <c r="Q241" s="344"/>
      <c r="R241" s="342"/>
      <c r="S241" s="206">
        <v>5</v>
      </c>
    </row>
    <row r="242" spans="15:19" ht="13.5" thickBot="1" x14ac:dyDescent="0.25">
      <c r="O242" s="36">
        <v>227</v>
      </c>
      <c r="P242" s="341"/>
      <c r="Q242" s="344"/>
      <c r="R242" s="342"/>
      <c r="S242" s="206">
        <v>5</v>
      </c>
    </row>
    <row r="243" spans="15:19" ht="13.5" thickBot="1" x14ac:dyDescent="0.25">
      <c r="O243" s="38">
        <v>228</v>
      </c>
      <c r="P243" s="341"/>
      <c r="Q243" s="344"/>
      <c r="R243" s="342"/>
      <c r="S243" s="206">
        <v>5</v>
      </c>
    </row>
    <row r="244" spans="15:19" ht="13.5" thickBot="1" x14ac:dyDescent="0.25">
      <c r="O244" s="36">
        <v>229</v>
      </c>
      <c r="P244" s="341"/>
      <c r="Q244" s="344"/>
      <c r="R244" s="342"/>
      <c r="S244" s="206">
        <v>5</v>
      </c>
    </row>
    <row r="245" spans="15:19" ht="13.5" thickBot="1" x14ac:dyDescent="0.25">
      <c r="O245" s="38">
        <v>230</v>
      </c>
      <c r="P245" s="341"/>
      <c r="Q245" s="344"/>
      <c r="R245" s="342"/>
      <c r="S245" s="206">
        <v>5</v>
      </c>
    </row>
    <row r="246" spans="15:19" ht="13.5" thickBot="1" x14ac:dyDescent="0.25">
      <c r="O246" s="36">
        <v>231</v>
      </c>
      <c r="P246" s="341"/>
      <c r="Q246" s="344"/>
      <c r="R246" s="342"/>
      <c r="S246" s="206">
        <v>5</v>
      </c>
    </row>
    <row r="247" spans="15:19" ht="13.5" thickBot="1" x14ac:dyDescent="0.25">
      <c r="O247" s="38">
        <v>232</v>
      </c>
      <c r="P247" s="341"/>
      <c r="Q247" s="344"/>
      <c r="R247" s="342"/>
      <c r="S247" s="206">
        <v>5</v>
      </c>
    </row>
    <row r="248" spans="15:19" ht="13.5" thickBot="1" x14ac:dyDescent="0.25">
      <c r="O248" s="36">
        <v>233</v>
      </c>
      <c r="P248" s="341"/>
      <c r="Q248" s="344"/>
      <c r="R248" s="342"/>
      <c r="S248" s="206">
        <v>5</v>
      </c>
    </row>
    <row r="249" spans="15:19" ht="13.5" thickBot="1" x14ac:dyDescent="0.25">
      <c r="O249" s="38">
        <v>234</v>
      </c>
      <c r="P249" s="341"/>
      <c r="Q249" s="344"/>
      <c r="R249" s="342"/>
      <c r="S249" s="206">
        <v>5</v>
      </c>
    </row>
    <row r="250" spans="15:19" ht="13.5" thickBot="1" x14ac:dyDescent="0.25">
      <c r="O250" s="36">
        <v>235</v>
      </c>
      <c r="P250" s="341"/>
      <c r="Q250" s="344"/>
      <c r="R250" s="342"/>
      <c r="S250" s="206">
        <v>5</v>
      </c>
    </row>
  </sheetData>
  <sheetProtection algorithmName="SHA-512" hashValue="+U45wdTA2ycrSrdaweUnRoNoEiNEloI2hBOsBvDoIHvomXM4nCKt9GJPHl2yA7LojSslIwSgCsJ7IE8QecOcWg==" saltValue="u6FROXwLqmOAZZvUkRwiZw==" spinCount="100000" sheet="1" objects="1" scenarios="1"/>
  <mergeCells count="48">
    <mergeCell ref="CG3:CJ3"/>
    <mergeCell ref="BM6:BP6"/>
    <mergeCell ref="BW3:BZ3"/>
    <mergeCell ref="CB3:CE3"/>
    <mergeCell ref="O3:R3"/>
    <mergeCell ref="T3:W3"/>
    <mergeCell ref="Y3:AB3"/>
    <mergeCell ref="BR3:BU3"/>
    <mergeCell ref="AD3:AG3"/>
    <mergeCell ref="AI3:AL3"/>
    <mergeCell ref="AN3:AQ3"/>
    <mergeCell ref="BH3:BK3"/>
    <mergeCell ref="AS3:AV3"/>
    <mergeCell ref="AX3:BA3"/>
    <mergeCell ref="BC3:BF3"/>
    <mergeCell ref="BM3:BP3"/>
    <mergeCell ref="AX6:BA6"/>
    <mergeCell ref="BC6:BF6"/>
    <mergeCell ref="BH6:BK6"/>
    <mergeCell ref="CB6:CE6"/>
    <mergeCell ref="CG7:CJ7"/>
    <mergeCell ref="BM7:BP7"/>
    <mergeCell ref="CG6:CJ6"/>
    <mergeCell ref="BH7:BK7"/>
    <mergeCell ref="AX7:BA7"/>
    <mergeCell ref="BC7:BF7"/>
    <mergeCell ref="CB7:CE7"/>
    <mergeCell ref="BR7:BU7"/>
    <mergeCell ref="BW7:BZ7"/>
    <mergeCell ref="BW6:BZ6"/>
    <mergeCell ref="BR6:BU6"/>
    <mergeCell ref="AN6:AQ6"/>
    <mergeCell ref="AS6:AV6"/>
    <mergeCell ref="AI6:AL6"/>
    <mergeCell ref="AS7:AV7"/>
    <mergeCell ref="AI7:AL7"/>
    <mergeCell ref="AN7:AQ7"/>
    <mergeCell ref="A8:C9"/>
    <mergeCell ref="J8:J9"/>
    <mergeCell ref="K8:K9"/>
    <mergeCell ref="O7:R7"/>
    <mergeCell ref="AD6:AG6"/>
    <mergeCell ref="AD7:AG7"/>
    <mergeCell ref="O6:R6"/>
    <mergeCell ref="T6:W6"/>
    <mergeCell ref="T7:W7"/>
    <mergeCell ref="Y6:AB6"/>
    <mergeCell ref="Y7:AB7"/>
  </mergeCells>
  <phoneticPr fontId="2" type="noConversion"/>
  <dataValidations disablePrompts="1" count="1">
    <dataValidation type="list" allowBlank="1" showInputMessage="1" showErrorMessage="1" sqref="Y7 CG7 AS7 T7 AD7 AI7 AN7 AX7 BC7 BH7 BM7 BR7 BW7 CB7">
      <formula1>$D$33:$D$34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Simulador CEF</vt:lpstr>
      <vt:lpstr>Apoio</vt:lpstr>
      <vt:lpstr>Premissas e Calculos</vt:lpstr>
      <vt:lpstr>Proposta 1 Via</vt:lpstr>
      <vt:lpstr>fluxos</vt:lpstr>
      <vt:lpstr>DADOS DOS EMPREENDIMENTOS</vt:lpstr>
      <vt:lpstr>'DADOS DOS EMPREENDIMENTOS'!Area_de_impressao</vt:lpstr>
      <vt:lpstr>'Premissas e Calculos'!Area_de_impressao</vt:lpstr>
      <vt:lpstr>'Proposta 1 Via'!Area_de_impressao</vt:lpstr>
      <vt:lpstr>'Simulador CEF'!Area_de_impressao</vt:lpstr>
      <vt:lpstr>INCC</vt:lpstr>
      <vt:lpstr>OBRA_VGV</vt:lpstr>
      <vt:lpstr>SM</vt:lpstr>
      <vt:lpstr>SUB</vt:lpstr>
      <vt:lpstr>SUBMin</vt:lpstr>
      <vt:lpstr>'DADOS DOS EMPREENDIMENTOS'!Terreno_VGV</vt:lpstr>
      <vt:lpstr>VMI</vt:lpstr>
      <vt:lpstr>'DADOS DOS EMPREENDIMENTOS'!VP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</dc:creator>
  <cp:lastModifiedBy>Robson França</cp:lastModifiedBy>
  <cp:lastPrinted>2019-06-24T18:23:51Z</cp:lastPrinted>
  <dcterms:created xsi:type="dcterms:W3CDTF">2009-05-16T11:44:52Z</dcterms:created>
  <dcterms:modified xsi:type="dcterms:W3CDTF">2019-12-03T18:23:49Z</dcterms:modified>
</cp:coreProperties>
</file>