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R:\VENDAS\SECRETARIA DE VENDAS\LIVING\Empreendimentos\Exato Residencial\Simulador\2019\12.2019\"/>
    </mc:Choice>
  </mc:AlternateContent>
  <bookViews>
    <workbookView xWindow="0" yWindow="0" windowWidth="19200" windowHeight="11490" tabRatio="602" firstSheet="2" activeTab="2"/>
  </bookViews>
  <sheets>
    <sheet name="Apoio" sheetId="23" state="hidden" r:id="rId1"/>
    <sheet name="fluxos" sheetId="25" state="hidden" r:id="rId2"/>
    <sheet name="Simulador CEF" sheetId="22" r:id="rId3"/>
    <sheet name="Premissas e Calculos" sheetId="1" state="hidden" r:id="rId4"/>
    <sheet name="Proposta 1 Via" sheetId="19" state="hidden" r:id="rId5"/>
    <sheet name="Meses" sheetId="13" state="hidden" r:id="rId6"/>
    <sheet name="DADOS DOS EMPREENDIMENTOS" sheetId="24" state="hidden" r:id="rId7"/>
    <sheet name="Plan1" sheetId="26" state="hidden" r:id="rId8"/>
    <sheet name="Plan2" sheetId="27" state="hidden" r:id="rId9"/>
    <sheet name="Plan3" sheetId="28" state="hidden" r:id="rId10"/>
    <sheet name="Plan4" sheetId="29" state="hidden" r:id="rId11"/>
    <sheet name="Plan6" sheetId="31" state="hidden" r:id="rId12"/>
    <sheet name="Plan5" sheetId="32" state="hidden" r:id="rId13"/>
  </sheets>
  <definedNames>
    <definedName name="_xlnm._FilterDatabase" localSheetId="0" hidden="1">Apoio!$A$8:$J$243</definedName>
    <definedName name="_xlnm._FilterDatabase" localSheetId="8" hidden="1">Plan2!$A$3:$D$242</definedName>
    <definedName name="_xlnm._FilterDatabase" localSheetId="4" hidden="1">'Proposta 1 Via'!$A$1:$A$90</definedName>
    <definedName name="_xlnm.Print_Area" localSheetId="0">Apoio!$C$245:$E$289</definedName>
    <definedName name="_xlnm.Print_Area" localSheetId="6">'DADOS DOS EMPREENDIMENTOS'!$P$2:$R$16</definedName>
    <definedName name="_xlnm.Print_Area" localSheetId="3">'Premissas e Calculos'!$B$1:$D$8</definedName>
    <definedName name="_xlnm.Print_Area" localSheetId="4">'Proposta 1 Via'!$E$1:$M$89</definedName>
    <definedName name="_xlnm.Print_Area" localSheetId="2">'Simulador CEF'!$A$1:$W$135</definedName>
    <definedName name="comissao">#REF!</definedName>
    <definedName name="entrada240">#REF!</definedName>
    <definedName name="entrada300">#REF!</definedName>
    <definedName name="INCC">'Premissas e Calculos'!$G$15</definedName>
    <definedName name="INICIO_OBRA" localSheetId="6">'DADOS DOS EMPREENDIMENTOS'!#REF!</definedName>
    <definedName name="INICIO_OBRA">#REF!</definedName>
    <definedName name="Mês" localSheetId="0">#REF!</definedName>
    <definedName name="Mês" localSheetId="2">#REF!</definedName>
    <definedName name="Mês">Meses!$A$12:$B$65536</definedName>
    <definedName name="OBRA_VGV">'Premissas e Calculos'!$G$16</definedName>
    <definedName name="Prazo_Obra" localSheetId="6">'DADOS DOS EMPREENDIMENTOS'!#REF!</definedName>
    <definedName name="Prazo_Obra">#REF!</definedName>
    <definedName name="repasse240" localSheetId="2">#REF!</definedName>
    <definedName name="repasse240">#REF!</definedName>
    <definedName name="repasse300" localSheetId="2">#REF!</definedName>
    <definedName name="repasse300">#REF!</definedName>
    <definedName name="SM">'Premissas e Calculos'!$G$13</definedName>
    <definedName name="SUB">'Premissas e Calculos'!$G$4</definedName>
    <definedName name="SUBMin">'Premissas e Calculos'!$G$5</definedName>
    <definedName name="Terreno_VGV" localSheetId="6">'DADOS DOS EMPREENDIMENTOS'!$V$9</definedName>
    <definedName name="Terreno_VGV">#REF!</definedName>
    <definedName name="VMI">'Premissas e Calculos'!$G$3</definedName>
    <definedName name="VP" localSheetId="6">'DADOS DOS EMPREENDIMENTOS'!$V$10</definedName>
    <definedName name="VP">#REF!</definedName>
  </definedNames>
  <calcPr calcId="162913"/>
</workbook>
</file>

<file path=xl/calcChain.xml><?xml version="1.0" encoding="utf-8"?>
<calcChain xmlns="http://schemas.openxmlformats.org/spreadsheetml/2006/main">
  <c r="D54" i="23" l="1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105" i="23"/>
  <c r="D106" i="23"/>
  <c r="D107" i="23"/>
  <c r="D108" i="23"/>
  <c r="D109" i="23"/>
  <c r="D110" i="23"/>
  <c r="D111" i="23"/>
  <c r="D112" i="23"/>
  <c r="D113" i="23"/>
  <c r="D114" i="23"/>
  <c r="D115" i="23"/>
  <c r="D116" i="23"/>
  <c r="D117" i="23"/>
  <c r="D118" i="23"/>
  <c r="D119" i="23"/>
  <c r="D120" i="23"/>
  <c r="D121" i="23"/>
  <c r="D122" i="23"/>
  <c r="D123" i="23"/>
  <c r="D124" i="23"/>
  <c r="D125" i="23"/>
  <c r="D126" i="23"/>
  <c r="D127" i="23"/>
  <c r="D128" i="23"/>
  <c r="D129" i="23"/>
  <c r="D130" i="23"/>
  <c r="D131" i="23"/>
  <c r="D132" i="23"/>
  <c r="D133" i="23"/>
  <c r="D134" i="23"/>
  <c r="D135" i="23"/>
  <c r="D136" i="23"/>
  <c r="D137" i="23"/>
  <c r="D138" i="23"/>
  <c r="D139" i="23"/>
  <c r="D140" i="23"/>
  <c r="D141" i="23"/>
  <c r="D142" i="23"/>
  <c r="D143" i="23"/>
  <c r="D144" i="23"/>
  <c r="D145" i="23"/>
  <c r="D146" i="23"/>
  <c r="D147" i="23"/>
  <c r="D148" i="23"/>
  <c r="D149" i="23"/>
  <c r="D150" i="23"/>
  <c r="D151" i="23"/>
  <c r="D152" i="23"/>
  <c r="D153" i="23"/>
  <c r="D154" i="23"/>
  <c r="D155" i="23"/>
  <c r="D156" i="23"/>
  <c r="D157" i="23"/>
  <c r="D158" i="23"/>
  <c r="D159" i="23"/>
  <c r="D160" i="23"/>
  <c r="D161" i="23"/>
  <c r="D162" i="23"/>
  <c r="D163" i="23"/>
  <c r="D164" i="23"/>
  <c r="D165" i="23"/>
  <c r="D166" i="23"/>
  <c r="D167" i="23"/>
  <c r="D168" i="23"/>
  <c r="D169" i="23"/>
  <c r="D170" i="23"/>
  <c r="D171" i="23"/>
  <c r="D172" i="23"/>
  <c r="D173" i="23"/>
  <c r="D174" i="23"/>
  <c r="D175" i="23"/>
  <c r="D176" i="23"/>
  <c r="D177" i="23"/>
  <c r="D178" i="23"/>
  <c r="D179" i="23"/>
  <c r="D180" i="23"/>
  <c r="D181" i="23"/>
  <c r="D182" i="23"/>
  <c r="D183" i="23"/>
  <c r="D184" i="23"/>
  <c r="D185" i="23"/>
  <c r="D186" i="23"/>
  <c r="D187" i="23"/>
  <c r="D188" i="23"/>
  <c r="D189" i="23"/>
  <c r="D190" i="23"/>
  <c r="D191" i="23"/>
  <c r="D192" i="23"/>
  <c r="D193" i="23"/>
  <c r="D194" i="23"/>
  <c r="D195" i="23"/>
  <c r="D196" i="23"/>
  <c r="D197" i="23"/>
  <c r="D198" i="23"/>
  <c r="D199" i="23"/>
  <c r="D200" i="23"/>
  <c r="D201" i="23"/>
  <c r="D202" i="23"/>
  <c r="D203" i="23"/>
  <c r="D204" i="23"/>
  <c r="D205" i="23"/>
  <c r="D206" i="23"/>
  <c r="D207" i="23"/>
  <c r="D208" i="23"/>
  <c r="D209" i="23"/>
  <c r="D210" i="23"/>
  <c r="D211" i="23"/>
  <c r="D212" i="23"/>
  <c r="D213" i="23"/>
  <c r="D214" i="23"/>
  <c r="D215" i="23"/>
  <c r="D216" i="23"/>
  <c r="D217" i="23"/>
  <c r="D218" i="23"/>
  <c r="D219" i="23"/>
  <c r="D220" i="23"/>
  <c r="D221" i="23"/>
  <c r="D222" i="23"/>
  <c r="D223" i="23"/>
  <c r="D224" i="23"/>
  <c r="D225" i="23"/>
  <c r="D226" i="23"/>
  <c r="D227" i="23"/>
  <c r="D228" i="23"/>
  <c r="D229" i="23"/>
  <c r="D230" i="23"/>
  <c r="D231" i="23"/>
  <c r="D232" i="23"/>
  <c r="D233" i="23"/>
  <c r="D234" i="23"/>
  <c r="D235" i="23"/>
  <c r="D236" i="23"/>
  <c r="D237" i="23"/>
  <c r="D238" i="23"/>
  <c r="D239" i="23"/>
  <c r="D240" i="23"/>
  <c r="D241" i="23"/>
  <c r="D242" i="23"/>
  <c r="D243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30" i="23"/>
  <c r="D31" i="23"/>
  <c r="D32" i="23"/>
  <c r="D33" i="23"/>
  <c r="D34" i="23"/>
  <c r="D35" i="23"/>
  <c r="D36" i="23"/>
  <c r="D37" i="23"/>
  <c r="D38" i="23"/>
  <c r="D3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9" i="23"/>
  <c r="I37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26" i="23"/>
  <c r="I127" i="23"/>
  <c r="I128" i="23"/>
  <c r="I129" i="23"/>
  <c r="I130" i="23"/>
  <c r="I131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59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98" i="23"/>
  <c r="I199" i="23"/>
  <c r="I200" i="23"/>
  <c r="I201" i="23"/>
  <c r="I202" i="23"/>
  <c r="I203" i="23"/>
  <c r="I204" i="23"/>
  <c r="I205" i="23"/>
  <c r="I206" i="23"/>
  <c r="I207" i="23"/>
  <c r="I208" i="23"/>
  <c r="I209" i="23"/>
  <c r="I210" i="23"/>
  <c r="I211" i="23"/>
  <c r="I212" i="23"/>
  <c r="I213" i="23"/>
  <c r="I214" i="23"/>
  <c r="I215" i="23"/>
  <c r="I216" i="23"/>
  <c r="I217" i="23"/>
  <c r="I218" i="23"/>
  <c r="I219" i="23"/>
  <c r="I220" i="23"/>
  <c r="I221" i="23"/>
  <c r="I222" i="23"/>
  <c r="I223" i="23"/>
  <c r="I224" i="23"/>
  <c r="I225" i="23"/>
  <c r="I226" i="23"/>
  <c r="I227" i="23"/>
  <c r="I228" i="23"/>
  <c r="I229" i="23"/>
  <c r="I230" i="23"/>
  <c r="I231" i="23"/>
  <c r="I232" i="23"/>
  <c r="I233" i="23"/>
  <c r="I234" i="23"/>
  <c r="I235" i="23"/>
  <c r="I236" i="23"/>
  <c r="I237" i="23"/>
  <c r="I238" i="23"/>
  <c r="I239" i="23"/>
  <c r="I240" i="23"/>
  <c r="I241" i="23"/>
  <c r="I242" i="23"/>
  <c r="I243" i="23"/>
  <c r="I9" i="23"/>
  <c r="H157" i="23" l="1"/>
  <c r="H158" i="23"/>
  <c r="H159" i="23"/>
  <c r="H160" i="23"/>
  <c r="H161" i="23"/>
  <c r="H162" i="23"/>
  <c r="H163" i="23"/>
  <c r="H164" i="23"/>
  <c r="H165" i="23"/>
  <c r="H166" i="23"/>
  <c r="H167" i="23"/>
  <c r="H168" i="23"/>
  <c r="H169" i="23"/>
  <c r="H170" i="23"/>
  <c r="H171" i="23"/>
  <c r="H172" i="23"/>
  <c r="H173" i="23"/>
  <c r="H174" i="23"/>
  <c r="H175" i="23"/>
  <c r="H176" i="23"/>
  <c r="H177" i="23"/>
  <c r="H178" i="23"/>
  <c r="H179" i="23"/>
  <c r="H180" i="23"/>
  <c r="H181" i="23"/>
  <c r="H182" i="23"/>
  <c r="H183" i="23"/>
  <c r="H184" i="23"/>
  <c r="H185" i="23"/>
  <c r="H186" i="23"/>
  <c r="H187" i="23"/>
  <c r="H188" i="23"/>
  <c r="H189" i="23"/>
  <c r="H190" i="23"/>
  <c r="H191" i="23"/>
  <c r="H192" i="23"/>
  <c r="H193" i="23"/>
  <c r="H194" i="23"/>
  <c r="H195" i="23"/>
  <c r="H196" i="23"/>
  <c r="H197" i="23"/>
  <c r="H198" i="23"/>
  <c r="H199" i="23"/>
  <c r="H200" i="23"/>
  <c r="H201" i="23"/>
  <c r="H202" i="23"/>
  <c r="H203" i="23"/>
  <c r="H204" i="23"/>
  <c r="H205" i="23"/>
  <c r="H206" i="23"/>
  <c r="H207" i="23"/>
  <c r="H208" i="23"/>
  <c r="H209" i="23"/>
  <c r="H210" i="23"/>
  <c r="H211" i="23"/>
  <c r="H212" i="23"/>
  <c r="H213" i="23"/>
  <c r="H214" i="23"/>
  <c r="H215" i="23"/>
  <c r="H216" i="23"/>
  <c r="H217" i="23"/>
  <c r="H218" i="23"/>
  <c r="H219" i="23"/>
  <c r="H220" i="23"/>
  <c r="H221" i="23"/>
  <c r="H222" i="23"/>
  <c r="H223" i="23"/>
  <c r="H224" i="23"/>
  <c r="H225" i="23"/>
  <c r="H226" i="23"/>
  <c r="H227" i="23"/>
  <c r="H228" i="23"/>
  <c r="H229" i="23"/>
  <c r="H230" i="23"/>
  <c r="H231" i="23"/>
  <c r="H232" i="23"/>
  <c r="H233" i="23"/>
  <c r="H234" i="23"/>
  <c r="H235" i="23"/>
  <c r="H236" i="23"/>
  <c r="H237" i="23"/>
  <c r="H238" i="23"/>
  <c r="H239" i="23"/>
  <c r="H240" i="23"/>
  <c r="H241" i="23"/>
  <c r="H242" i="23"/>
  <c r="H243" i="23"/>
  <c r="H156" i="23"/>
  <c r="H128" i="23"/>
  <c r="H129" i="23"/>
  <c r="H130" i="23"/>
  <c r="H131" i="23"/>
  <c r="H132" i="23"/>
  <c r="H133" i="23"/>
  <c r="H134" i="23"/>
  <c r="H135" i="23"/>
  <c r="H136" i="23"/>
  <c r="H137" i="23"/>
  <c r="H138" i="23"/>
  <c r="H139" i="23"/>
  <c r="H140" i="23"/>
  <c r="H141" i="23"/>
  <c r="H142" i="23"/>
  <c r="H143" i="23"/>
  <c r="H144" i="23"/>
  <c r="H145" i="23"/>
  <c r="H146" i="23"/>
  <c r="H147" i="23"/>
  <c r="H148" i="23"/>
  <c r="H149" i="23"/>
  <c r="H150" i="23"/>
  <c r="H151" i="23"/>
  <c r="H152" i="23"/>
  <c r="H153" i="23"/>
  <c r="H154" i="23"/>
  <c r="H155" i="23"/>
  <c r="H127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H60" i="23"/>
  <c r="H61" i="23"/>
  <c r="H62" i="23"/>
  <c r="H63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113" i="23"/>
  <c r="H114" i="23"/>
  <c r="H115" i="23"/>
  <c r="H116" i="23"/>
  <c r="H117" i="23"/>
  <c r="H118" i="23"/>
  <c r="H119" i="23"/>
  <c r="H120" i="23"/>
  <c r="H121" i="23"/>
  <c r="H122" i="23"/>
  <c r="H123" i="23"/>
  <c r="H124" i="23"/>
  <c r="H125" i="23"/>
  <c r="H126" i="23"/>
  <c r="H3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9" i="23"/>
  <c r="J1" i="23" l="1"/>
  <c r="I12" i="22" l="1"/>
  <c r="G243" i="23" l="1"/>
  <c r="G236" i="23"/>
  <c r="G235" i="23"/>
  <c r="G228" i="23"/>
  <c r="G227" i="23"/>
  <c r="G220" i="23"/>
  <c r="G219" i="23"/>
  <c r="G212" i="23"/>
  <c r="G211" i="23"/>
  <c r="G204" i="23"/>
  <c r="G203" i="23"/>
  <c r="G196" i="23"/>
  <c r="G126" i="23"/>
  <c r="G119" i="23"/>
  <c r="G118" i="23"/>
  <c r="G111" i="23"/>
  <c r="G110" i="23"/>
  <c r="G103" i="23"/>
  <c r="G102" i="23"/>
  <c r="G95" i="23"/>
  <c r="G94" i="23"/>
  <c r="G87" i="23"/>
  <c r="G86" i="23"/>
  <c r="G79" i="23"/>
  <c r="D91" i="22" l="1"/>
  <c r="C34" i="22" l="1"/>
  <c r="E36" i="22"/>
  <c r="B1" i="29" l="1"/>
  <c r="A17" i="25"/>
  <c r="K79" i="22"/>
  <c r="C15" i="1"/>
  <c r="C16" i="1"/>
  <c r="C17" i="1"/>
  <c r="C14" i="1"/>
  <c r="I26" i="22"/>
  <c r="C125" i="27"/>
  <c r="C126" i="27"/>
  <c r="C127" i="27"/>
  <c r="C128" i="27"/>
  <c r="C129" i="27"/>
  <c r="C130" i="27"/>
  <c r="C131" i="27"/>
  <c r="C132" i="27"/>
  <c r="C133" i="27"/>
  <c r="C134" i="27"/>
  <c r="C135" i="27"/>
  <c r="C136" i="27"/>
  <c r="C137" i="27"/>
  <c r="C138" i="27"/>
  <c r="C139" i="27"/>
  <c r="C140" i="27"/>
  <c r="C141" i="27"/>
  <c r="C142" i="27"/>
  <c r="C143" i="27"/>
  <c r="C144" i="27"/>
  <c r="C145" i="27"/>
  <c r="C146" i="27"/>
  <c r="C147" i="27"/>
  <c r="C148" i="27"/>
  <c r="C149" i="27"/>
  <c r="C150" i="27"/>
  <c r="C151" i="27"/>
  <c r="C152" i="27"/>
  <c r="C153" i="27"/>
  <c r="C154" i="27"/>
  <c r="C155" i="27"/>
  <c r="C156" i="27"/>
  <c r="C157" i="27"/>
  <c r="C158" i="27"/>
  <c r="C159" i="27"/>
  <c r="C160" i="27"/>
  <c r="C161" i="27"/>
  <c r="C162" i="27"/>
  <c r="C163" i="27"/>
  <c r="C164" i="27"/>
  <c r="C165" i="27"/>
  <c r="C166" i="27"/>
  <c r="C167" i="27"/>
  <c r="C168" i="27"/>
  <c r="C169" i="27"/>
  <c r="C170" i="27"/>
  <c r="C171" i="27"/>
  <c r="C172" i="27"/>
  <c r="C173" i="27"/>
  <c r="C174" i="27"/>
  <c r="C175" i="27"/>
  <c r="C176" i="27"/>
  <c r="C177" i="27"/>
  <c r="C178" i="27"/>
  <c r="C179" i="27"/>
  <c r="C180" i="27"/>
  <c r="C181" i="27"/>
  <c r="C182" i="27"/>
  <c r="C183" i="27"/>
  <c r="C184" i="27"/>
  <c r="C185" i="27"/>
  <c r="C186" i="27"/>
  <c r="C187" i="27"/>
  <c r="C188" i="27"/>
  <c r="C189" i="27"/>
  <c r="C190" i="27"/>
  <c r="C191" i="27"/>
  <c r="C192" i="27"/>
  <c r="C193" i="27"/>
  <c r="C194" i="27"/>
  <c r="C195" i="27"/>
  <c r="C196" i="27"/>
  <c r="C197" i="27"/>
  <c r="C198" i="27"/>
  <c r="C199" i="27"/>
  <c r="C200" i="27"/>
  <c r="C201" i="27"/>
  <c r="C202" i="27"/>
  <c r="C203" i="27"/>
  <c r="C204" i="27"/>
  <c r="C205" i="27"/>
  <c r="C206" i="27"/>
  <c r="C207" i="27"/>
  <c r="C208" i="27"/>
  <c r="C209" i="27"/>
  <c r="C210" i="27"/>
  <c r="C211" i="27"/>
  <c r="C212" i="27"/>
  <c r="C213" i="27"/>
  <c r="C214" i="27"/>
  <c r="C215" i="27"/>
  <c r="C216" i="27"/>
  <c r="C217" i="27"/>
  <c r="C218" i="27"/>
  <c r="C219" i="27"/>
  <c r="C220" i="27"/>
  <c r="C221" i="27"/>
  <c r="C222" i="27"/>
  <c r="C223" i="27"/>
  <c r="C224" i="27"/>
  <c r="C225" i="27"/>
  <c r="C226" i="27"/>
  <c r="C227" i="27"/>
  <c r="C228" i="27"/>
  <c r="C229" i="27"/>
  <c r="C230" i="27"/>
  <c r="C231" i="27"/>
  <c r="C232" i="27"/>
  <c r="C233" i="27"/>
  <c r="C234" i="27"/>
  <c r="C235" i="27"/>
  <c r="C236" i="27"/>
  <c r="C237" i="27"/>
  <c r="C238" i="27"/>
  <c r="C239" i="27"/>
  <c r="C240" i="27"/>
  <c r="C241" i="27"/>
  <c r="C242" i="27"/>
  <c r="C12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72" i="27"/>
  <c r="C73" i="27"/>
  <c r="C74" i="27"/>
  <c r="C75" i="27"/>
  <c r="C76" i="27"/>
  <c r="C77" i="27"/>
  <c r="C78" i="27"/>
  <c r="C79" i="27"/>
  <c r="C80" i="27"/>
  <c r="C81" i="27"/>
  <c r="C82" i="27"/>
  <c r="C83" i="27"/>
  <c r="C84" i="27"/>
  <c r="C85" i="27"/>
  <c r="C86" i="27"/>
  <c r="C87" i="27"/>
  <c r="C88" i="27"/>
  <c r="C89" i="27"/>
  <c r="C90" i="27"/>
  <c r="C91" i="27"/>
  <c r="C92" i="27"/>
  <c r="C93" i="27"/>
  <c r="C94" i="27"/>
  <c r="C95" i="27"/>
  <c r="C96" i="27"/>
  <c r="C97" i="27"/>
  <c r="C98" i="27"/>
  <c r="C99" i="27"/>
  <c r="C100" i="27"/>
  <c r="C101" i="27"/>
  <c r="C102" i="27"/>
  <c r="C103" i="27"/>
  <c r="C104" i="27"/>
  <c r="C105" i="27"/>
  <c r="C106" i="27"/>
  <c r="C107" i="27"/>
  <c r="C108" i="27"/>
  <c r="C109" i="27"/>
  <c r="C110" i="27"/>
  <c r="C111" i="27"/>
  <c r="C112" i="27"/>
  <c r="C113" i="27"/>
  <c r="C114" i="27"/>
  <c r="C115" i="27"/>
  <c r="C116" i="27"/>
  <c r="C117" i="27"/>
  <c r="C118" i="27"/>
  <c r="C119" i="27"/>
  <c r="C120" i="27"/>
  <c r="C121" i="27"/>
  <c r="C122" i="27"/>
  <c r="C123" i="27"/>
  <c r="C4" i="27"/>
  <c r="E55" i="22"/>
  <c r="G38" i="1"/>
  <c r="AB6" i="22" s="1"/>
  <c r="D49" i="22"/>
  <c r="A49" i="22" s="1"/>
  <c r="E49" i="22"/>
  <c r="K71" i="22" s="1"/>
  <c r="HR49" i="22"/>
  <c r="HS49" i="22"/>
  <c r="HT49" i="22"/>
  <c r="D47" i="22"/>
  <c r="A47" i="22" s="1"/>
  <c r="E47" i="22"/>
  <c r="HR47" i="22"/>
  <c r="HS47" i="22"/>
  <c r="HT47" i="22"/>
  <c r="G1" i="25"/>
  <c r="H2" i="25" s="1"/>
  <c r="L1" i="25"/>
  <c r="M2" i="25" s="1"/>
  <c r="Q1" i="25"/>
  <c r="V1" i="25"/>
  <c r="G4" i="25"/>
  <c r="I4" i="25"/>
  <c r="G5" i="25"/>
  <c r="I5" i="25"/>
  <c r="G6" i="25"/>
  <c r="I6" i="25"/>
  <c r="G7" i="25"/>
  <c r="I7" i="25"/>
  <c r="G8" i="25"/>
  <c r="I8" i="25"/>
  <c r="G9" i="25"/>
  <c r="I9" i="25"/>
  <c r="G10" i="25"/>
  <c r="I10" i="25"/>
  <c r="G11" i="25"/>
  <c r="I11" i="25"/>
  <c r="G12" i="25"/>
  <c r="H12" i="25"/>
  <c r="I12" i="25"/>
  <c r="N14" i="25"/>
  <c r="HR50" i="22"/>
  <c r="HS50" i="22"/>
  <c r="HT50" i="22"/>
  <c r="O9" i="1"/>
  <c r="N9" i="1" s="1"/>
  <c r="V10" i="24"/>
  <c r="K11" i="24" s="1"/>
  <c r="X17" i="24"/>
  <c r="X18" i="24"/>
  <c r="X19" i="24"/>
  <c r="X20" i="24"/>
  <c r="X21" i="24"/>
  <c r="X22" i="24"/>
  <c r="X23" i="24"/>
  <c r="X24" i="24"/>
  <c r="X25" i="24"/>
  <c r="X26" i="24"/>
  <c r="X16" i="24"/>
  <c r="N36" i="22"/>
  <c r="AB36" i="22" s="1"/>
  <c r="D41" i="22"/>
  <c r="A41" i="22" s="1"/>
  <c r="E41" i="22"/>
  <c r="D43" i="22"/>
  <c r="E43" i="22"/>
  <c r="D45" i="22"/>
  <c r="E45" i="22"/>
  <c r="D51" i="22"/>
  <c r="A51" i="22"/>
  <c r="E51" i="22"/>
  <c r="D53" i="22"/>
  <c r="A53" i="22" s="1"/>
  <c r="E53" i="22"/>
  <c r="D55" i="22"/>
  <c r="J6" i="1"/>
  <c r="L19" i="1" s="1"/>
  <c r="P79" i="22"/>
  <c r="P75" i="22"/>
  <c r="Z20" i="22"/>
  <c r="P15" i="1" s="1"/>
  <c r="G32" i="1" s="1"/>
  <c r="IU85" i="22"/>
  <c r="IT85" i="22"/>
  <c r="J21" i="1"/>
  <c r="W4" i="1"/>
  <c r="F22" i="22"/>
  <c r="S75" i="22" s="1"/>
  <c r="E48" i="19"/>
  <c r="C17" i="25"/>
  <c r="D26" i="22"/>
  <c r="HF10" i="22"/>
  <c r="G18" i="25"/>
  <c r="H19" i="25"/>
  <c r="I19" i="25"/>
  <c r="J17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F22" i="25"/>
  <c r="F21" i="25"/>
  <c r="F20" i="25"/>
  <c r="F19" i="25"/>
  <c r="F18" i="25"/>
  <c r="F23" i="25" s="1"/>
  <c r="F17" i="25"/>
  <c r="H17" i="25"/>
  <c r="F15" i="25"/>
  <c r="K3" i="22"/>
  <c r="K90" i="22" s="1"/>
  <c r="I49" i="19"/>
  <c r="I48" i="19"/>
  <c r="J48" i="19" s="1"/>
  <c r="P77" i="22"/>
  <c r="A77" i="22"/>
  <c r="A75" i="22"/>
  <c r="K12" i="24"/>
  <c r="G14" i="1"/>
  <c r="P14" i="1"/>
  <c r="AA20" i="22"/>
  <c r="O3" i="1"/>
  <c r="J19" i="1" s="1"/>
  <c r="O8" i="1" s="1"/>
  <c r="F95" i="22"/>
  <c r="J8" i="24"/>
  <c r="P71" i="22"/>
  <c r="B1" i="25"/>
  <c r="B2" i="25" s="1"/>
  <c r="D23" i="19"/>
  <c r="D22" i="19"/>
  <c r="D21" i="19"/>
  <c r="D20" i="19"/>
  <c r="D19" i="19"/>
  <c r="D18" i="19"/>
  <c r="D17" i="19"/>
  <c r="AH150" i="22"/>
  <c r="I47" i="19"/>
  <c r="E47" i="19"/>
  <c r="A47" i="19" s="1"/>
  <c r="I46" i="19"/>
  <c r="I45" i="19"/>
  <c r="E45" i="19"/>
  <c r="A45" i="19"/>
  <c r="I44" i="19"/>
  <c r="E44" i="19"/>
  <c r="A44" i="19" s="1"/>
  <c r="I43" i="19"/>
  <c r="I42" i="19"/>
  <c r="E43" i="19"/>
  <c r="A43" i="19" s="1"/>
  <c r="E42" i="19"/>
  <c r="P67" i="22"/>
  <c r="P65" i="22"/>
  <c r="M7" i="1"/>
  <c r="N7" i="1"/>
  <c r="P69" i="22"/>
  <c r="B10" i="24"/>
  <c r="HS18" i="22" s="1"/>
  <c r="B11" i="24"/>
  <c r="HS19" i="22" s="1"/>
  <c r="B12" i="24"/>
  <c r="HS20" i="22" s="1"/>
  <c r="B13" i="24"/>
  <c r="HS22" i="22" s="1"/>
  <c r="E23" i="19"/>
  <c r="A21" i="19" s="1"/>
  <c r="M24" i="19"/>
  <c r="M25" i="19"/>
  <c r="M26" i="19"/>
  <c r="M27" i="19"/>
  <c r="M28" i="19"/>
  <c r="M29" i="19"/>
  <c r="M30" i="19"/>
  <c r="M31" i="19"/>
  <c r="M32" i="19"/>
  <c r="M33" i="19"/>
  <c r="M34" i="19"/>
  <c r="E41" i="19"/>
  <c r="I41" i="19"/>
  <c r="D42" i="19"/>
  <c r="D43" i="19"/>
  <c r="D44" i="19"/>
  <c r="E49" i="19"/>
  <c r="A49" i="19" s="1"/>
  <c r="M53" i="19"/>
  <c r="R53" i="19" s="1"/>
  <c r="M54" i="19"/>
  <c r="R54" i="19" s="1"/>
  <c r="M55" i="19"/>
  <c r="R55" i="19" s="1"/>
  <c r="M56" i="19"/>
  <c r="R56" i="19" s="1"/>
  <c r="M57" i="19"/>
  <c r="R57" i="19" s="1"/>
  <c r="M58" i="19"/>
  <c r="R58" i="19" s="1"/>
  <c r="M59" i="19"/>
  <c r="R59" i="19" s="1"/>
  <c r="M60" i="19"/>
  <c r="R60" i="19" s="1"/>
  <c r="M61" i="19"/>
  <c r="R61" i="19" s="1"/>
  <c r="P63" i="22"/>
  <c r="U41" i="22" s="1"/>
  <c r="HT53" i="22"/>
  <c r="HS53" i="22"/>
  <c r="HR53" i="22"/>
  <c r="O26" i="1"/>
  <c r="O28" i="1"/>
  <c r="O29" i="1"/>
  <c r="R29" i="1"/>
  <c r="R28" i="1"/>
  <c r="R27" i="1"/>
  <c r="O27" i="1"/>
  <c r="R26" i="1"/>
  <c r="R25" i="1"/>
  <c r="O25" i="1"/>
  <c r="R24" i="1"/>
  <c r="O24" i="1"/>
  <c r="R23" i="1"/>
  <c r="G5" i="19"/>
  <c r="A73" i="22"/>
  <c r="A81" i="22"/>
  <c r="D51" i="19"/>
  <c r="A51" i="19"/>
  <c r="R62" i="19"/>
  <c r="P81" i="22"/>
  <c r="P83" i="22"/>
  <c r="D50" i="19"/>
  <c r="A50" i="19"/>
  <c r="D48" i="19"/>
  <c r="D46" i="19"/>
  <c r="A71" i="22"/>
  <c r="A69" i="22"/>
  <c r="A67" i="22"/>
  <c r="A65" i="22"/>
  <c r="F11" i="24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G11" i="24"/>
  <c r="G12" i="24" s="1"/>
  <c r="G13" i="24" s="1"/>
  <c r="G14" i="24" s="1"/>
  <c r="G15" i="24" s="1"/>
  <c r="G16" i="24" s="1"/>
  <c r="G17" i="24" s="1"/>
  <c r="G18" i="24" s="1"/>
  <c r="G19" i="24" s="1"/>
  <c r="G20" i="24" s="1"/>
  <c r="G21" i="24" s="1"/>
  <c r="G22" i="24" s="1"/>
  <c r="G23" i="24" s="1"/>
  <c r="I12" i="24"/>
  <c r="N11" i="24"/>
  <c r="N12" i="24" s="1"/>
  <c r="N13" i="24" s="1"/>
  <c r="N14" i="24" s="1"/>
  <c r="N15" i="24" s="1"/>
  <c r="N16" i="24" s="1"/>
  <c r="N17" i="24" s="1"/>
  <c r="N18" i="24" s="1"/>
  <c r="N19" i="24" s="1"/>
  <c r="N20" i="24" s="1"/>
  <c r="N21" i="24" s="1"/>
  <c r="N22" i="24" s="1"/>
  <c r="N23" i="24" s="1"/>
  <c r="H10" i="24"/>
  <c r="H11" i="24" s="1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I14" i="24"/>
  <c r="M12" i="24"/>
  <c r="HF5" i="22"/>
  <c r="HF6" i="22"/>
  <c r="HF7" i="22"/>
  <c r="HF8" i="22"/>
  <c r="HF9" i="22"/>
  <c r="HF11" i="22"/>
  <c r="HF12" i="22"/>
  <c r="HF14" i="22"/>
  <c r="HF15" i="22"/>
  <c r="HF16" i="22"/>
  <c r="HF17" i="22"/>
  <c r="HF18" i="22"/>
  <c r="HF19" i="22"/>
  <c r="HF20" i="22"/>
  <c r="HF22" i="22"/>
  <c r="HF26" i="22"/>
  <c r="HF27" i="22"/>
  <c r="HF28" i="22"/>
  <c r="HF29" i="22"/>
  <c r="HF30" i="22"/>
  <c r="HF33" i="22"/>
  <c r="HF37" i="22"/>
  <c r="HF38" i="22"/>
  <c r="HF39" i="22"/>
  <c r="I23" i="24"/>
  <c r="I22" i="24"/>
  <c r="I21" i="24"/>
  <c r="I20" i="24"/>
  <c r="I19" i="24"/>
  <c r="I18" i="24"/>
  <c r="I17" i="24"/>
  <c r="I16" i="24"/>
  <c r="I15" i="24"/>
  <c r="I13" i="24"/>
  <c r="I11" i="24"/>
  <c r="I10" i="24"/>
  <c r="M11" i="24"/>
  <c r="M23" i="24"/>
  <c r="M22" i="24"/>
  <c r="M21" i="24"/>
  <c r="M20" i="24"/>
  <c r="M19" i="24"/>
  <c r="M18" i="24"/>
  <c r="M17" i="24"/>
  <c r="M16" i="24"/>
  <c r="M15" i="24"/>
  <c r="M14" i="24"/>
  <c r="M13" i="24"/>
  <c r="K23" i="24"/>
  <c r="K22" i="24"/>
  <c r="K21" i="24"/>
  <c r="K20" i="24"/>
  <c r="K19" i="24"/>
  <c r="K18" i="24"/>
  <c r="K17" i="24"/>
  <c r="K16" i="24"/>
  <c r="K15" i="24"/>
  <c r="J23" i="24"/>
  <c r="J22" i="24"/>
  <c r="J21" i="24"/>
  <c r="J20" i="24"/>
  <c r="J19" i="24"/>
  <c r="J18" i="24"/>
  <c r="J17" i="24"/>
  <c r="J16" i="24"/>
  <c r="J15" i="24"/>
  <c r="B23" i="24"/>
  <c r="HS37" i="22" s="1"/>
  <c r="B22" i="24"/>
  <c r="HS36" i="22" s="1"/>
  <c r="B21" i="24"/>
  <c r="HS35" i="22" s="1"/>
  <c r="B20" i="24"/>
  <c r="HS34" i="22" s="1"/>
  <c r="B19" i="24"/>
  <c r="HS33" i="22" s="1"/>
  <c r="B18" i="24"/>
  <c r="HS30" i="22" s="1"/>
  <c r="B17" i="24"/>
  <c r="HS29" i="22" s="1"/>
  <c r="B16" i="24"/>
  <c r="HS28" i="22" s="1"/>
  <c r="B15" i="24"/>
  <c r="HS27" i="22" s="1"/>
  <c r="B14" i="24"/>
  <c r="HS26" i="22" s="1"/>
  <c r="HR19" i="22"/>
  <c r="HT19" i="22"/>
  <c r="HR20" i="22"/>
  <c r="HT20" i="22"/>
  <c r="HR22" i="22"/>
  <c r="HT22" i="22"/>
  <c r="HR26" i="22"/>
  <c r="HT26" i="22"/>
  <c r="HR27" i="22"/>
  <c r="HT27" i="22"/>
  <c r="HR28" i="22"/>
  <c r="HT28" i="22"/>
  <c r="HR29" i="22"/>
  <c r="HT29" i="22"/>
  <c r="HR30" i="22"/>
  <c r="HT30" i="22"/>
  <c r="HR33" i="22"/>
  <c r="HT33" i="22"/>
  <c r="HR34" i="22"/>
  <c r="HT34" i="22"/>
  <c r="HR35" i="22"/>
  <c r="HT35" i="22"/>
  <c r="HR36" i="22"/>
  <c r="HT36" i="22"/>
  <c r="HR37" i="22"/>
  <c r="HT37" i="22"/>
  <c r="HR38" i="22"/>
  <c r="HS38" i="22"/>
  <c r="HT38" i="22"/>
  <c r="HR39" i="22"/>
  <c r="HS39" i="22"/>
  <c r="HT39" i="22"/>
  <c r="HR40" i="22"/>
  <c r="HS40" i="22"/>
  <c r="HT40" i="22"/>
  <c r="HR41" i="22"/>
  <c r="HS41" i="22"/>
  <c r="HT41" i="22"/>
  <c r="HR46" i="22"/>
  <c r="HS46" i="22"/>
  <c r="HT46" i="22"/>
  <c r="HR48" i="22"/>
  <c r="HS48" i="22"/>
  <c r="HT48" i="22"/>
  <c r="HR51" i="22"/>
  <c r="HS51" i="22"/>
  <c r="HT51" i="22"/>
  <c r="HR52" i="22"/>
  <c r="HS52" i="22"/>
  <c r="HT52" i="22"/>
  <c r="HR55" i="22"/>
  <c r="HS55" i="22"/>
  <c r="HT55" i="22"/>
  <c r="HR56" i="22"/>
  <c r="HS56" i="22"/>
  <c r="HT56" i="22"/>
  <c r="HR57" i="22"/>
  <c r="HS57" i="22"/>
  <c r="HT57" i="22"/>
  <c r="HR58" i="22"/>
  <c r="HS58" i="22"/>
  <c r="HT58" i="22"/>
  <c r="HR59" i="22"/>
  <c r="HS59" i="22"/>
  <c r="HT59" i="22"/>
  <c r="HR60" i="22"/>
  <c r="HS60" i="22"/>
  <c r="HT60" i="22"/>
  <c r="HR61" i="22"/>
  <c r="HS61" i="22"/>
  <c r="HT61" i="22"/>
  <c r="HR62" i="22"/>
  <c r="HS62" i="22"/>
  <c r="HT62" i="22"/>
  <c r="HT18" i="22"/>
  <c r="HR18" i="22"/>
  <c r="A83" i="22"/>
  <c r="D11" i="24"/>
  <c r="E11" i="24" s="1"/>
  <c r="AG42" i="24"/>
  <c r="AG43" i="24"/>
  <c r="AG44" i="24"/>
  <c r="AG45" i="24"/>
  <c r="AG46" i="24"/>
  <c r="AG47" i="24"/>
  <c r="AG48" i="24"/>
  <c r="AG49" i="24"/>
  <c r="AG50" i="24"/>
  <c r="AG51" i="24"/>
  <c r="AG52" i="24"/>
  <c r="AG53" i="24"/>
  <c r="AG54" i="24"/>
  <c r="AG55" i="24"/>
  <c r="AG56" i="24"/>
  <c r="AG57" i="24"/>
  <c r="AG58" i="24"/>
  <c r="AG59" i="24"/>
  <c r="AG60" i="24"/>
  <c r="AG61" i="24"/>
  <c r="AG62" i="24"/>
  <c r="AG63" i="24"/>
  <c r="AG64" i="24"/>
  <c r="HL33" i="22"/>
  <c r="HL34" i="22"/>
  <c r="HL17" i="22"/>
  <c r="HL18" i="22"/>
  <c r="HL19" i="22"/>
  <c r="HL20" i="22"/>
  <c r="HL21" i="22"/>
  <c r="HL26" i="22"/>
  <c r="HL27" i="22"/>
  <c r="HL28" i="22"/>
  <c r="HL29" i="22"/>
  <c r="HL30" i="22"/>
  <c r="AD150" i="22"/>
  <c r="A79" i="22"/>
  <c r="AF150" i="22"/>
  <c r="AF151" i="22" s="1"/>
  <c r="AG151" i="22" s="1"/>
  <c r="AB150" i="22"/>
  <c r="AG65" i="24"/>
  <c r="A63" i="22"/>
  <c r="AK151" i="22" s="1"/>
  <c r="S112" i="22"/>
  <c r="AG112" i="22"/>
  <c r="AG66" i="24"/>
  <c r="AG67" i="24"/>
  <c r="IO86" i="22"/>
  <c r="IO87" i="22" s="1"/>
  <c r="IO88" i="22" s="1"/>
  <c r="IO89" i="22" s="1"/>
  <c r="M35" i="19"/>
  <c r="M10" i="24"/>
  <c r="AG68" i="24"/>
  <c r="AG69" i="24"/>
  <c r="AG70" i="24"/>
  <c r="AG71" i="24"/>
  <c r="AG72" i="24"/>
  <c r="AG73" i="24"/>
  <c r="AG74" i="24"/>
  <c r="AG75" i="24"/>
  <c r="AG76" i="24"/>
  <c r="AG77" i="24"/>
  <c r="AG78" i="24"/>
  <c r="AG79" i="24"/>
  <c r="AG80" i="24"/>
  <c r="AG81" i="24"/>
  <c r="E10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E69" i="24"/>
  <c r="CE68" i="24"/>
  <c r="CE67" i="24"/>
  <c r="CE66" i="24"/>
  <c r="CE65" i="24"/>
  <c r="CE64" i="24"/>
  <c r="CE63" i="24"/>
  <c r="CE62" i="24"/>
  <c r="CE61" i="24"/>
  <c r="CE60" i="24"/>
  <c r="CE59" i="24"/>
  <c r="CE58" i="24"/>
  <c r="CE57" i="24"/>
  <c r="CE56" i="24"/>
  <c r="CE55" i="24"/>
  <c r="CE54" i="24"/>
  <c r="CE53" i="24"/>
  <c r="CE52" i="24"/>
  <c r="CE51" i="24"/>
  <c r="CE50" i="24"/>
  <c r="CE49" i="24"/>
  <c r="CE48" i="24"/>
  <c r="CE47" i="24"/>
  <c r="CE46" i="24"/>
  <c r="CE45" i="24"/>
  <c r="CE44" i="24"/>
  <c r="CE43" i="24"/>
  <c r="CE42" i="24"/>
  <c r="BZ81" i="24"/>
  <c r="BZ80" i="24"/>
  <c r="BZ79" i="24"/>
  <c r="BZ78" i="24"/>
  <c r="BZ77" i="24"/>
  <c r="BZ76" i="24"/>
  <c r="BZ75" i="24"/>
  <c r="BZ74" i="24"/>
  <c r="BZ73" i="24"/>
  <c r="BZ72" i="24"/>
  <c r="BZ71" i="24"/>
  <c r="BZ70" i="24"/>
  <c r="BZ69" i="24"/>
  <c r="BZ68" i="24"/>
  <c r="BZ67" i="24"/>
  <c r="BZ66" i="24"/>
  <c r="BZ65" i="24"/>
  <c r="BZ64" i="24"/>
  <c r="BZ63" i="24"/>
  <c r="BZ62" i="24"/>
  <c r="BZ61" i="24"/>
  <c r="BZ60" i="24"/>
  <c r="BZ59" i="24"/>
  <c r="BZ58" i="24"/>
  <c r="BZ57" i="24"/>
  <c r="BZ56" i="24"/>
  <c r="BZ55" i="24"/>
  <c r="BZ54" i="24"/>
  <c r="BZ53" i="24"/>
  <c r="BZ52" i="24"/>
  <c r="BZ51" i="24"/>
  <c r="BZ50" i="24"/>
  <c r="BZ49" i="24"/>
  <c r="BZ48" i="24"/>
  <c r="BZ47" i="24"/>
  <c r="BZ46" i="24"/>
  <c r="BZ45" i="24"/>
  <c r="BZ44" i="24"/>
  <c r="BZ43" i="24"/>
  <c r="BZ42" i="24"/>
  <c r="BU81" i="24"/>
  <c r="BU80" i="24"/>
  <c r="BU79" i="24"/>
  <c r="BU78" i="24"/>
  <c r="BU77" i="24"/>
  <c r="BU76" i="24"/>
  <c r="BU75" i="24"/>
  <c r="BU74" i="24"/>
  <c r="BU73" i="24"/>
  <c r="BU72" i="24"/>
  <c r="BU71" i="24"/>
  <c r="BU70" i="24"/>
  <c r="BU69" i="24"/>
  <c r="BU68" i="24"/>
  <c r="BU67" i="24"/>
  <c r="BU66" i="24"/>
  <c r="BU65" i="24"/>
  <c r="BU64" i="24"/>
  <c r="BU63" i="24"/>
  <c r="BU62" i="24"/>
  <c r="BU61" i="24"/>
  <c r="BU60" i="24"/>
  <c r="BU59" i="24"/>
  <c r="BU58" i="24"/>
  <c r="BU57" i="24"/>
  <c r="BU56" i="24"/>
  <c r="BU55" i="24"/>
  <c r="BU54" i="24"/>
  <c r="BU53" i="24"/>
  <c r="BU52" i="24"/>
  <c r="BU51" i="24"/>
  <c r="BU50" i="24"/>
  <c r="BU49" i="24"/>
  <c r="BU48" i="24"/>
  <c r="BU47" i="24"/>
  <c r="BU46" i="24"/>
  <c r="BU45" i="24"/>
  <c r="BU44" i="24"/>
  <c r="BU43" i="24"/>
  <c r="BU42" i="24"/>
  <c r="BP81" i="24"/>
  <c r="BP80" i="24"/>
  <c r="BP79" i="24"/>
  <c r="BP78" i="24"/>
  <c r="BP77" i="24"/>
  <c r="BP76" i="24"/>
  <c r="BP75" i="24"/>
  <c r="BP74" i="24"/>
  <c r="BP73" i="24"/>
  <c r="BP72" i="24"/>
  <c r="BP71" i="24"/>
  <c r="BP70" i="24"/>
  <c r="BP69" i="24"/>
  <c r="BP68" i="24"/>
  <c r="BP67" i="24"/>
  <c r="BP66" i="24"/>
  <c r="BP65" i="24"/>
  <c r="BP64" i="24"/>
  <c r="BP63" i="24"/>
  <c r="BP62" i="24"/>
  <c r="BP61" i="24"/>
  <c r="BP60" i="24"/>
  <c r="BP59" i="24"/>
  <c r="BP58" i="24"/>
  <c r="BP57" i="24"/>
  <c r="BP56" i="24"/>
  <c r="BP55" i="24"/>
  <c r="BP54" i="24"/>
  <c r="BP53" i="24"/>
  <c r="BP52" i="24"/>
  <c r="BP51" i="24"/>
  <c r="BP50" i="24"/>
  <c r="BP49" i="24"/>
  <c r="BP48" i="24"/>
  <c r="BP47" i="24"/>
  <c r="BP46" i="24"/>
  <c r="BP45" i="24"/>
  <c r="BP44" i="24"/>
  <c r="BP43" i="24"/>
  <c r="BP42" i="24"/>
  <c r="BK81" i="24"/>
  <c r="BK80" i="24"/>
  <c r="BK79" i="24"/>
  <c r="BK78" i="24"/>
  <c r="BK77" i="24"/>
  <c r="BK76" i="24"/>
  <c r="BK75" i="24"/>
  <c r="BK74" i="24"/>
  <c r="BK73" i="24"/>
  <c r="BK72" i="24"/>
  <c r="BK71" i="24"/>
  <c r="BK70" i="24"/>
  <c r="BK69" i="24"/>
  <c r="BK68" i="24"/>
  <c r="BK67" i="24"/>
  <c r="BK66" i="24"/>
  <c r="BK65" i="24"/>
  <c r="BK64" i="24"/>
  <c r="BK63" i="24"/>
  <c r="BK62" i="24"/>
  <c r="BK61" i="24"/>
  <c r="BK60" i="24"/>
  <c r="BK59" i="24"/>
  <c r="BK58" i="24"/>
  <c r="BK57" i="24"/>
  <c r="BK56" i="24"/>
  <c r="BK55" i="24"/>
  <c r="BK54" i="24"/>
  <c r="BK53" i="24"/>
  <c r="BK52" i="24"/>
  <c r="BK51" i="24"/>
  <c r="BK50" i="24"/>
  <c r="BK49" i="24"/>
  <c r="BK48" i="24"/>
  <c r="BK47" i="24"/>
  <c r="BK46" i="24"/>
  <c r="BK45" i="24"/>
  <c r="BK44" i="24"/>
  <c r="BK43" i="24"/>
  <c r="BK42" i="24"/>
  <c r="BF81" i="24"/>
  <c r="BF80" i="24"/>
  <c r="BF79" i="24"/>
  <c r="BF78" i="24"/>
  <c r="BF77" i="24"/>
  <c r="BF76" i="24"/>
  <c r="BF75" i="24"/>
  <c r="BF74" i="24"/>
  <c r="BF73" i="24"/>
  <c r="BF72" i="24"/>
  <c r="BF71" i="24"/>
  <c r="BF70" i="24"/>
  <c r="BF69" i="24"/>
  <c r="BF68" i="24"/>
  <c r="BF67" i="24"/>
  <c r="BF66" i="24"/>
  <c r="BF65" i="24"/>
  <c r="BF64" i="24"/>
  <c r="BF63" i="24"/>
  <c r="BF62" i="24"/>
  <c r="BF61" i="24"/>
  <c r="BF60" i="24"/>
  <c r="BF59" i="24"/>
  <c r="BF58" i="24"/>
  <c r="BF57" i="24"/>
  <c r="BF56" i="24"/>
  <c r="BF55" i="24"/>
  <c r="BF54" i="24"/>
  <c r="BF53" i="24"/>
  <c r="BF52" i="24"/>
  <c r="BF51" i="24"/>
  <c r="BF50" i="24"/>
  <c r="BF49" i="24"/>
  <c r="BF48" i="24"/>
  <c r="BF47" i="24"/>
  <c r="BF46" i="24"/>
  <c r="BF45" i="24"/>
  <c r="BF44" i="24"/>
  <c r="BF43" i="24"/>
  <c r="BF42" i="24"/>
  <c r="BA81" i="24"/>
  <c r="BA80" i="24"/>
  <c r="BA79" i="24"/>
  <c r="BA78" i="24"/>
  <c r="BA77" i="24"/>
  <c r="BA76" i="24"/>
  <c r="BA75" i="24"/>
  <c r="BA74" i="24"/>
  <c r="BA73" i="24"/>
  <c r="BA72" i="24"/>
  <c r="BA71" i="24"/>
  <c r="BA70" i="24"/>
  <c r="BA69" i="24"/>
  <c r="BA68" i="24"/>
  <c r="BA67" i="24"/>
  <c r="BA66" i="24"/>
  <c r="BA65" i="24"/>
  <c r="BA64" i="24"/>
  <c r="BA63" i="24"/>
  <c r="BA62" i="24"/>
  <c r="BA61" i="24"/>
  <c r="BA60" i="24"/>
  <c r="BA59" i="24"/>
  <c r="BA58" i="24"/>
  <c r="BA57" i="24"/>
  <c r="BA56" i="24"/>
  <c r="BA55" i="24"/>
  <c r="BA54" i="24"/>
  <c r="BA53" i="24"/>
  <c r="BA52" i="24"/>
  <c r="BA51" i="24"/>
  <c r="BA50" i="24"/>
  <c r="BA49" i="24"/>
  <c r="BA48" i="24"/>
  <c r="BA47" i="24"/>
  <c r="BA46" i="24"/>
  <c r="BA45" i="24"/>
  <c r="BA44" i="24"/>
  <c r="BA43" i="24"/>
  <c r="BA42" i="24"/>
  <c r="AV81" i="24"/>
  <c r="AV80" i="24"/>
  <c r="AV79" i="24"/>
  <c r="AV78" i="24"/>
  <c r="AV77" i="24"/>
  <c r="AV76" i="24"/>
  <c r="AV75" i="24"/>
  <c r="AV74" i="24"/>
  <c r="AV73" i="24"/>
  <c r="AV72" i="24"/>
  <c r="AV71" i="24"/>
  <c r="AV70" i="24"/>
  <c r="AV69" i="24"/>
  <c r="AV68" i="24"/>
  <c r="AV67" i="24"/>
  <c r="AV66" i="24"/>
  <c r="AV65" i="24"/>
  <c r="AV64" i="24"/>
  <c r="AV63" i="24"/>
  <c r="AV62" i="24"/>
  <c r="AV61" i="24"/>
  <c r="AV60" i="24"/>
  <c r="AV59" i="24"/>
  <c r="AV58" i="24"/>
  <c r="AV57" i="24"/>
  <c r="AV56" i="24"/>
  <c r="AV55" i="24"/>
  <c r="AV54" i="24"/>
  <c r="AV53" i="24"/>
  <c r="AV52" i="24"/>
  <c r="AV51" i="24"/>
  <c r="AV50" i="24"/>
  <c r="AV49" i="24"/>
  <c r="AV48" i="24"/>
  <c r="AV47" i="24"/>
  <c r="AV46" i="24"/>
  <c r="AV45" i="24"/>
  <c r="AV44" i="24"/>
  <c r="AV43" i="24"/>
  <c r="AV42" i="24"/>
  <c r="AQ81" i="24"/>
  <c r="AQ80" i="24"/>
  <c r="AQ79" i="24"/>
  <c r="AQ78" i="24"/>
  <c r="AQ77" i="24"/>
  <c r="AQ76" i="24"/>
  <c r="AQ75" i="24"/>
  <c r="AQ74" i="24"/>
  <c r="AQ73" i="24"/>
  <c r="AQ72" i="24"/>
  <c r="AQ71" i="24"/>
  <c r="AQ70" i="24"/>
  <c r="AQ69" i="24"/>
  <c r="AQ68" i="24"/>
  <c r="AQ67" i="24"/>
  <c r="AQ66" i="24"/>
  <c r="AQ65" i="24"/>
  <c r="AQ64" i="24"/>
  <c r="AQ63" i="24"/>
  <c r="AQ62" i="24"/>
  <c r="AQ61" i="24"/>
  <c r="AQ60" i="24"/>
  <c r="AQ59" i="24"/>
  <c r="AQ58" i="24"/>
  <c r="AQ57" i="24"/>
  <c r="AQ56" i="24"/>
  <c r="AQ55" i="24"/>
  <c r="AQ54" i="24"/>
  <c r="AQ53" i="24"/>
  <c r="AQ52" i="24"/>
  <c r="AQ51" i="24"/>
  <c r="AQ50" i="24"/>
  <c r="AQ49" i="24"/>
  <c r="AQ48" i="24"/>
  <c r="AQ47" i="24"/>
  <c r="AQ46" i="24"/>
  <c r="AQ45" i="24"/>
  <c r="AQ44" i="24"/>
  <c r="AQ43" i="24"/>
  <c r="AQ42" i="24"/>
  <c r="AL81" i="24"/>
  <c r="AL80" i="24"/>
  <c r="AL79" i="24"/>
  <c r="AL78" i="24"/>
  <c r="AL77" i="24"/>
  <c r="AL76" i="24"/>
  <c r="AL75" i="24"/>
  <c r="AL74" i="24"/>
  <c r="AL73" i="24"/>
  <c r="AL72" i="24"/>
  <c r="AL71" i="24"/>
  <c r="AL70" i="24"/>
  <c r="AL69" i="24"/>
  <c r="AL68" i="24"/>
  <c r="AL67" i="24"/>
  <c r="AL66" i="24"/>
  <c r="AL65" i="24"/>
  <c r="AL64" i="24"/>
  <c r="AL63" i="24"/>
  <c r="AL62" i="24"/>
  <c r="AL61" i="24"/>
  <c r="AL60" i="24"/>
  <c r="AL59" i="24"/>
  <c r="AL58" i="24"/>
  <c r="AL57" i="24"/>
  <c r="AL56" i="24"/>
  <c r="AL55" i="24"/>
  <c r="AL54" i="24"/>
  <c r="AL53" i="24"/>
  <c r="AL52" i="24"/>
  <c r="AL51" i="24"/>
  <c r="AL50" i="24"/>
  <c r="AL49" i="24"/>
  <c r="AL48" i="24"/>
  <c r="AL47" i="24"/>
  <c r="AL46" i="24"/>
  <c r="AL45" i="24"/>
  <c r="AL44" i="24"/>
  <c r="AL43" i="24"/>
  <c r="AL42" i="24"/>
  <c r="HR12" i="22"/>
  <c r="HL4" i="22"/>
  <c r="HL5" i="22"/>
  <c r="HM5" i="22"/>
  <c r="HO5" i="22"/>
  <c r="HL6" i="22"/>
  <c r="HM6" i="22"/>
  <c r="HL7" i="22"/>
  <c r="HM7" i="22"/>
  <c r="HN7" i="22"/>
  <c r="HL8" i="22"/>
  <c r="HL9" i="22"/>
  <c r="HM9" i="22"/>
  <c r="HN9" i="22"/>
  <c r="HO9" i="22"/>
  <c r="HM12" i="22"/>
  <c r="HN12" i="22"/>
  <c r="HO12" i="22"/>
  <c r="HL16" i="22"/>
  <c r="HL85" i="22"/>
  <c r="HM85" i="22"/>
  <c r="HN85" i="22"/>
  <c r="HO85" i="22"/>
  <c r="HL86" i="22"/>
  <c r="HL88" i="22"/>
  <c r="HM88" i="22"/>
  <c r="HO88" i="22"/>
  <c r="HL89" i="22"/>
  <c r="HM89" i="22"/>
  <c r="HL90" i="22"/>
  <c r="HM90" i="22"/>
  <c r="HN90" i="22"/>
  <c r="HO90" i="22"/>
  <c r="HL91" i="22"/>
  <c r="HM91" i="22"/>
  <c r="HN91" i="22"/>
  <c r="HO91" i="22"/>
  <c r="HL92" i="22"/>
  <c r="HO92" i="22"/>
  <c r="HL95" i="22"/>
  <c r="HL96" i="22"/>
  <c r="HL97" i="22"/>
  <c r="HL98" i="22"/>
  <c r="HL99" i="22"/>
  <c r="HL100" i="22"/>
  <c r="HL101" i="22"/>
  <c r="HL102" i="22"/>
  <c r="HL103" i="22"/>
  <c r="HL104" i="22"/>
  <c r="HL105" i="22"/>
  <c r="HL106" i="22"/>
  <c r="HL108" i="22"/>
  <c r="HL109" i="22"/>
  <c r="HL110" i="22"/>
  <c r="HL111" i="22"/>
  <c r="HL112" i="22"/>
  <c r="HL113" i="22"/>
  <c r="HL114" i="22"/>
  <c r="HL115" i="22"/>
  <c r="HL116" i="22"/>
  <c r="HL117" i="22"/>
  <c r="HL118" i="22"/>
  <c r="HL119" i="22"/>
  <c r="HL120" i="22"/>
  <c r="HL122" i="22"/>
  <c r="HL123" i="22"/>
  <c r="HL124" i="22"/>
  <c r="HL125" i="22"/>
  <c r="HL126" i="22"/>
  <c r="HL127" i="22"/>
  <c r="HL128" i="22"/>
  <c r="HL130" i="22"/>
  <c r="HL131" i="22"/>
  <c r="HL132" i="22"/>
  <c r="HL133" i="22"/>
  <c r="HL134" i="22"/>
  <c r="HL135" i="22"/>
  <c r="HL136" i="22"/>
  <c r="H19" i="1"/>
  <c r="H16" i="1"/>
  <c r="H15" i="1"/>
  <c r="H13" i="1"/>
  <c r="H12" i="1"/>
  <c r="H11" i="1"/>
  <c r="L6" i="1"/>
  <c r="IS30" i="22"/>
  <c r="IR30" i="22"/>
  <c r="IQ30" i="22"/>
  <c r="IS29" i="22"/>
  <c r="IR29" i="22"/>
  <c r="IS28" i="22"/>
  <c r="IR28" i="22"/>
  <c r="IQ28" i="22"/>
  <c r="IQ29" i="22"/>
  <c r="L7" i="1"/>
  <c r="J53" i="19"/>
  <c r="J54" i="19"/>
  <c r="J55" i="19"/>
  <c r="J56" i="19"/>
  <c r="J57" i="19"/>
  <c r="J58" i="19"/>
  <c r="J59" i="19"/>
  <c r="J60" i="19"/>
  <c r="J61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D24" i="19"/>
  <c r="D25" i="19"/>
  <c r="D26" i="19"/>
  <c r="D27" i="19"/>
  <c r="D28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D35" i="19"/>
  <c r="L3" i="19"/>
  <c r="C16" i="19"/>
  <c r="D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D29" i="19"/>
  <c r="C30" i="19"/>
  <c r="D30" i="19"/>
  <c r="C31" i="19"/>
  <c r="D31" i="19"/>
  <c r="C32" i="19"/>
  <c r="D32" i="19"/>
  <c r="C33" i="19"/>
  <c r="D33" i="19"/>
  <c r="C34" i="19"/>
  <c r="D34" i="19"/>
  <c r="C35" i="19"/>
  <c r="D41" i="19"/>
  <c r="D45" i="19"/>
  <c r="D47" i="19"/>
  <c r="D49" i="19"/>
  <c r="A52" i="19"/>
  <c r="D52" i="19"/>
  <c r="A53" i="19"/>
  <c r="D53" i="19"/>
  <c r="A54" i="19"/>
  <c r="D54" i="19"/>
  <c r="A55" i="19"/>
  <c r="D55" i="19"/>
  <c r="A56" i="19"/>
  <c r="D56" i="19"/>
  <c r="A57" i="19"/>
  <c r="D57" i="19"/>
  <c r="A58" i="19"/>
  <c r="D58" i="19"/>
  <c r="A59" i="19"/>
  <c r="D59" i="19"/>
  <c r="A60" i="19"/>
  <c r="D60" i="19"/>
  <c r="A61" i="19"/>
  <c r="D61" i="19"/>
  <c r="A62" i="19"/>
  <c r="D62" i="19"/>
  <c r="A63" i="19"/>
  <c r="E71" i="19"/>
  <c r="H72" i="19"/>
  <c r="I72" i="19"/>
  <c r="K72" i="19"/>
  <c r="AM152" i="22"/>
  <c r="AM156" i="22"/>
  <c r="AM158" i="22"/>
  <c r="AM160" i="22"/>
  <c r="AM162" i="22"/>
  <c r="AM164" i="22"/>
  <c r="AM166" i="22"/>
  <c r="AM168" i="22"/>
  <c r="AM170" i="22"/>
  <c r="AM172" i="22"/>
  <c r="AM175" i="22"/>
  <c r="AM177" i="22"/>
  <c r="AM181" i="22"/>
  <c r="AM185" i="22"/>
  <c r="AM189" i="22"/>
  <c r="AM153" i="22"/>
  <c r="AM174" i="22"/>
  <c r="AM180" i="22"/>
  <c r="AM184" i="22"/>
  <c r="AM188" i="22"/>
  <c r="AM150" i="22"/>
  <c r="AM154" i="22"/>
  <c r="AM157" i="22"/>
  <c r="AM159" i="22"/>
  <c r="AM161" i="22"/>
  <c r="AM163" i="22"/>
  <c r="AM165" i="22"/>
  <c r="AM167" i="22"/>
  <c r="AM169" i="22"/>
  <c r="AM171" i="22"/>
  <c r="AM173" i="22"/>
  <c r="AM176" i="22"/>
  <c r="AM179" i="22"/>
  <c r="AM183" i="22"/>
  <c r="AM190" i="22"/>
  <c r="AM155" i="22"/>
  <c r="AM178" i="22"/>
  <c r="AM182" i="22"/>
  <c r="AM151" i="22"/>
  <c r="AM186" i="22"/>
  <c r="AM187" i="22"/>
  <c r="P85" i="22"/>
  <c r="K13" i="24"/>
  <c r="K14" i="24"/>
  <c r="S81" i="22"/>
  <c r="H14" i="1"/>
  <c r="K10" i="24"/>
  <c r="S10" i="22" s="1"/>
  <c r="G11" i="19" s="1"/>
  <c r="K10" i="19" s="1"/>
  <c r="AJ10" i="24"/>
  <c r="J14" i="24" s="1"/>
  <c r="J13" i="24"/>
  <c r="D14" i="25"/>
  <c r="C111" i="13"/>
  <c r="J12" i="24"/>
  <c r="C115" i="13"/>
  <c r="D2" i="23"/>
  <c r="E4" i="23" s="1"/>
  <c r="HN33" i="22"/>
  <c r="HN30" i="22"/>
  <c r="HN29" i="22"/>
  <c r="HN34" i="22"/>
  <c r="HN17" i="22"/>
  <c r="HN18" i="22"/>
  <c r="HN26" i="22"/>
  <c r="HN19" i="22"/>
  <c r="HN27" i="22"/>
  <c r="HN20" i="22"/>
  <c r="HN28" i="22"/>
  <c r="HN21" i="22"/>
  <c r="HO18" i="22"/>
  <c r="HM21" i="22"/>
  <c r="C256" i="23"/>
  <c r="HM100" i="22" s="1"/>
  <c r="HO17" i="22"/>
  <c r="C265" i="23"/>
  <c r="HM110" i="22" s="1"/>
  <c r="C267" i="23"/>
  <c r="HM112" i="22" s="1"/>
  <c r="HO20" i="22"/>
  <c r="HM28" i="22"/>
  <c r="C264" i="23"/>
  <c r="HM109" i="22" s="1"/>
  <c r="C257" i="23"/>
  <c r="HM101" i="22" s="1"/>
  <c r="HM30" i="22"/>
  <c r="HO21" i="22"/>
  <c r="HO28" i="22"/>
  <c r="HO26" i="22"/>
  <c r="HM27" i="22"/>
  <c r="HM26" i="22"/>
  <c r="HO30" i="22"/>
  <c r="HO29" i="22"/>
  <c r="HO33" i="22"/>
  <c r="HM33" i="22"/>
  <c r="HM18" i="22"/>
  <c r="HO34" i="22"/>
  <c r="HO19" i="22"/>
  <c r="HO27" i="22"/>
  <c r="HM29" i="22"/>
  <c r="HM19" i="22"/>
  <c r="C269" i="23"/>
  <c r="HM114" i="22" s="1"/>
  <c r="C261" i="23"/>
  <c r="HM105" i="22" s="1"/>
  <c r="C270" i="23"/>
  <c r="HM115" i="22" s="1"/>
  <c r="C271" i="23"/>
  <c r="HM116" i="22" s="1"/>
  <c r="C250" i="23"/>
  <c r="HM92" i="22" s="1"/>
  <c r="C266" i="23"/>
  <c r="HM111" i="22" s="1"/>
  <c r="C258" i="23"/>
  <c r="HM102" i="22" s="1"/>
  <c r="C272" i="23"/>
  <c r="HM117" i="22" s="1"/>
  <c r="C263" i="23"/>
  <c r="HM108" i="22" s="1"/>
  <c r="C254" i="23"/>
  <c r="HM98" i="22" s="1"/>
  <c r="C253" i="23"/>
  <c r="HM97" i="22" s="1"/>
  <c r="C275" i="23"/>
  <c r="HM120" i="22" s="1"/>
  <c r="HM34" i="22"/>
  <c r="HM20" i="22"/>
  <c r="HM17" i="22"/>
  <c r="C255" i="23"/>
  <c r="HM99" i="22" s="1"/>
  <c r="C260" i="23"/>
  <c r="HM104" i="22" s="1"/>
  <c r="C252" i="23"/>
  <c r="HM96" i="22" s="1"/>
  <c r="C273" i="23"/>
  <c r="HM118" i="22" s="1"/>
  <c r="C262" i="23"/>
  <c r="HM106" i="22" s="1"/>
  <c r="C251" i="23"/>
  <c r="HM95" i="22" s="1"/>
  <c r="C274" i="23"/>
  <c r="HM119" i="22" s="1"/>
  <c r="C259" i="23"/>
  <c r="HM103" i="22" s="1"/>
  <c r="C268" i="23"/>
  <c r="HM113" i="22" s="1"/>
  <c r="E19" i="19"/>
  <c r="A17" i="19" s="1"/>
  <c r="HM16" i="22"/>
  <c r="HO16" i="22"/>
  <c r="J13" i="1"/>
  <c r="P47" i="22"/>
  <c r="AN142" i="22"/>
  <c r="J151" i="22" s="1"/>
  <c r="I20" i="19"/>
  <c r="I19" i="19"/>
  <c r="U10" i="24"/>
  <c r="J11" i="24" s="1"/>
  <c r="J10" i="24"/>
  <c r="D2" i="25"/>
  <c r="J19" i="22"/>
  <c r="D12" i="24"/>
  <c r="E12" i="24" s="1"/>
  <c r="AK160" i="22"/>
  <c r="I2" i="25"/>
  <c r="G2" i="25"/>
  <c r="L2" i="25"/>
  <c r="F248" i="23"/>
  <c r="A41" i="19"/>
  <c r="V2" i="25"/>
  <c r="E2" i="25"/>
  <c r="D7" i="23"/>
  <c r="HN11" i="22" s="1"/>
  <c r="Y2" i="25"/>
  <c r="W2" i="25"/>
  <c r="X2" i="25"/>
  <c r="A42" i="19"/>
  <c r="J42" i="19"/>
  <c r="S2" i="25"/>
  <c r="T2" i="25"/>
  <c r="R2" i="25"/>
  <c r="Q2" i="25"/>
  <c r="C2" i="25"/>
  <c r="G20" i="1"/>
  <c r="H20" i="1" s="1"/>
  <c r="AK153" i="22"/>
  <c r="AK155" i="22"/>
  <c r="J43" i="19"/>
  <c r="AI150" i="22"/>
  <c r="AK170" i="22"/>
  <c r="AK188" i="22"/>
  <c r="AK180" i="22"/>
  <c r="AK162" i="22"/>
  <c r="AK175" i="22"/>
  <c r="AK171" i="22"/>
  <c r="AK150" i="22"/>
  <c r="AK154" i="22"/>
  <c r="AK161" i="22"/>
  <c r="AK184" i="22"/>
  <c r="AK185" i="22"/>
  <c r="AK176" i="22"/>
  <c r="AK183" i="22"/>
  <c r="AK182" i="22"/>
  <c r="AK168" i="22"/>
  <c r="AK156" i="22"/>
  <c r="AK179" i="22"/>
  <c r="J44" i="19" l="1"/>
  <c r="AC150" i="22"/>
  <c r="J41" i="19"/>
  <c r="G45" i="25"/>
  <c r="AD151" i="22"/>
  <c r="AD152" i="22" s="1"/>
  <c r="AD153" i="22" s="1"/>
  <c r="Z41" i="22"/>
  <c r="S53" i="22"/>
  <c r="S45" i="22"/>
  <c r="AE152" i="22"/>
  <c r="G248" i="23"/>
  <c r="J49" i="22"/>
  <c r="E20" i="19" s="1"/>
  <c r="D13" i="24"/>
  <c r="E13" i="24" s="1"/>
  <c r="AK166" i="22"/>
  <c r="J19" i="19"/>
  <c r="AK189" i="22"/>
  <c r="AK187" i="22"/>
  <c r="AK186" i="22"/>
  <c r="AK164" i="22"/>
  <c r="AK157" i="22"/>
  <c r="AK167" i="22"/>
  <c r="AK190" i="22"/>
  <c r="AK158" i="22"/>
  <c r="I248" i="23"/>
  <c r="AN112" i="22" s="1"/>
  <c r="AR112" i="22" s="1"/>
  <c r="N2" i="25"/>
  <c r="AK178" i="22"/>
  <c r="AK152" i="22"/>
  <c r="AK169" i="22"/>
  <c r="AK172" i="22"/>
  <c r="AK177" i="22"/>
  <c r="AK165" i="22"/>
  <c r="AK174" i="22"/>
  <c r="AK159" i="22"/>
  <c r="AK173" i="22"/>
  <c r="AK181" i="22"/>
  <c r="AK163" i="22"/>
  <c r="J2" i="25"/>
  <c r="O2" i="25"/>
  <c r="AB151" i="22"/>
  <c r="IV85" i="22"/>
  <c r="O32" i="1" s="1"/>
  <c r="P32" i="1" s="1"/>
  <c r="Q32" i="1" s="1"/>
  <c r="L17" i="1" s="1"/>
  <c r="M17" i="1" s="1"/>
  <c r="J9" i="1"/>
  <c r="G41" i="22"/>
  <c r="G47" i="22" s="1"/>
  <c r="J53" i="22"/>
  <c r="S47" i="22"/>
  <c r="D14" i="24"/>
  <c r="J45" i="19"/>
  <c r="S49" i="22"/>
  <c r="J51" i="22"/>
  <c r="E21" i="19" s="1"/>
  <c r="A19" i="19" s="1"/>
  <c r="AE150" i="22"/>
  <c r="E18" i="25"/>
  <c r="I14" i="25"/>
  <c r="M19" i="1"/>
  <c r="AJ112" i="22" s="1"/>
  <c r="J43" i="22"/>
  <c r="E17" i="19" s="1"/>
  <c r="J152" i="22"/>
  <c r="U42" i="22"/>
  <c r="G17" i="1"/>
  <c r="N5" i="1" s="1"/>
  <c r="J3" i="1"/>
  <c r="L12" i="1" s="1"/>
  <c r="HO7" i="22"/>
  <c r="S43" i="22"/>
  <c r="J45" i="22"/>
  <c r="E18" i="19" s="1"/>
  <c r="S41" i="22"/>
  <c r="J154" i="22"/>
  <c r="S51" i="22"/>
  <c r="J41" i="22"/>
  <c r="E16" i="19" s="1"/>
  <c r="A16" i="19" s="1"/>
  <c r="J153" i="22"/>
  <c r="J49" i="19"/>
  <c r="A48" i="19"/>
  <c r="J47" i="19"/>
  <c r="AH151" i="22"/>
  <c r="AI151" i="22" s="1"/>
  <c r="AF152" i="22"/>
  <c r="AG150" i="22"/>
  <c r="U40" i="22"/>
  <c r="G10" i="19"/>
  <c r="M63" i="22"/>
  <c r="C2" i="22"/>
  <c r="G151" i="22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AO142" i="22"/>
  <c r="S8" i="1"/>
  <c r="S6" i="1"/>
  <c r="AB35" i="22"/>
  <c r="J248" i="23"/>
  <c r="H248" i="23"/>
  <c r="C7" i="23"/>
  <c r="E247" i="23"/>
  <c r="F7" i="23"/>
  <c r="F9" i="23" s="1"/>
  <c r="F10" i="23" s="1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F62" i="23" s="1"/>
  <c r="F63" i="23" s="1"/>
  <c r="F64" i="23" s="1"/>
  <c r="F65" i="23" s="1"/>
  <c r="F66" i="23" s="1"/>
  <c r="F67" i="23" s="1"/>
  <c r="F68" i="23" s="1"/>
  <c r="F69" i="23" s="1"/>
  <c r="F70" i="23" s="1"/>
  <c r="F71" i="23" s="1"/>
  <c r="F72" i="23" s="1"/>
  <c r="F73" i="23" s="1"/>
  <c r="F74" i="23" s="1"/>
  <c r="F75" i="23" s="1"/>
  <c r="F76" i="23" s="1"/>
  <c r="F77" i="23" s="1"/>
  <c r="F78" i="23" s="1"/>
  <c r="F79" i="23" s="1"/>
  <c r="F80" i="23" s="1"/>
  <c r="F81" i="23" s="1"/>
  <c r="F82" i="23" s="1"/>
  <c r="F83" i="23" s="1"/>
  <c r="F84" i="23" s="1"/>
  <c r="F85" i="23" s="1"/>
  <c r="F86" i="23" s="1"/>
  <c r="F87" i="23" s="1"/>
  <c r="F88" i="23" s="1"/>
  <c r="F89" i="23" s="1"/>
  <c r="F90" i="23" s="1"/>
  <c r="F91" i="23" s="1"/>
  <c r="F92" i="23" s="1"/>
  <c r="F93" i="23" s="1"/>
  <c r="F94" i="23" s="1"/>
  <c r="F95" i="23" s="1"/>
  <c r="F96" i="23" s="1"/>
  <c r="F97" i="23" s="1"/>
  <c r="F98" i="23" s="1"/>
  <c r="F99" i="23" s="1"/>
  <c r="F100" i="23" s="1"/>
  <c r="F101" i="23" s="1"/>
  <c r="F102" i="23" s="1"/>
  <c r="F103" i="23" s="1"/>
  <c r="F104" i="23" s="1"/>
  <c r="F105" i="23" s="1"/>
  <c r="F106" i="23" s="1"/>
  <c r="F107" i="23" s="1"/>
  <c r="F108" i="23" s="1"/>
  <c r="F109" i="23" s="1"/>
  <c r="F110" i="23" s="1"/>
  <c r="F111" i="23" s="1"/>
  <c r="F112" i="23" s="1"/>
  <c r="F113" i="23" s="1"/>
  <c r="F114" i="23" s="1"/>
  <c r="F115" i="23" s="1"/>
  <c r="F116" i="23" s="1"/>
  <c r="F117" i="23" s="1"/>
  <c r="F118" i="23" s="1"/>
  <c r="F119" i="23" s="1"/>
  <c r="F120" i="23" s="1"/>
  <c r="F121" i="23" s="1"/>
  <c r="F122" i="23" s="1"/>
  <c r="F123" i="23" s="1"/>
  <c r="F124" i="23" s="1"/>
  <c r="F125" i="23" s="1"/>
  <c r="F126" i="23" s="1"/>
  <c r="F127" i="23" s="1"/>
  <c r="F128" i="23" s="1"/>
  <c r="F129" i="23" s="1"/>
  <c r="F130" i="23" s="1"/>
  <c r="F131" i="23" s="1"/>
  <c r="F132" i="23" s="1"/>
  <c r="F133" i="23" s="1"/>
  <c r="F134" i="23" s="1"/>
  <c r="F135" i="23" s="1"/>
  <c r="F136" i="23" s="1"/>
  <c r="F137" i="23" s="1"/>
  <c r="F138" i="23" s="1"/>
  <c r="F139" i="23" s="1"/>
  <c r="F140" i="23" s="1"/>
  <c r="F141" i="23" s="1"/>
  <c r="F142" i="23" s="1"/>
  <c r="F143" i="23" s="1"/>
  <c r="F144" i="23" s="1"/>
  <c r="F145" i="23" s="1"/>
  <c r="F146" i="23" s="1"/>
  <c r="F147" i="23" s="1"/>
  <c r="F148" i="23" s="1"/>
  <c r="F149" i="23" s="1"/>
  <c r="F150" i="23" s="1"/>
  <c r="F151" i="23" s="1"/>
  <c r="F152" i="23" s="1"/>
  <c r="F153" i="23" s="1"/>
  <c r="F154" i="23" s="1"/>
  <c r="F155" i="23" s="1"/>
  <c r="F156" i="23" s="1"/>
  <c r="F157" i="23" s="1"/>
  <c r="F158" i="23" s="1"/>
  <c r="F159" i="23" s="1"/>
  <c r="F160" i="23" s="1"/>
  <c r="F161" i="23" s="1"/>
  <c r="F162" i="23" s="1"/>
  <c r="F163" i="23" s="1"/>
  <c r="F164" i="23" s="1"/>
  <c r="F165" i="23" s="1"/>
  <c r="F166" i="23" s="1"/>
  <c r="F167" i="23" s="1"/>
  <c r="F168" i="23" s="1"/>
  <c r="F169" i="23" s="1"/>
  <c r="F170" i="23" s="1"/>
  <c r="F171" i="23" s="1"/>
  <c r="F172" i="23" s="1"/>
  <c r="F173" i="23" s="1"/>
  <c r="F174" i="23" s="1"/>
  <c r="F175" i="23" s="1"/>
  <c r="F176" i="23" s="1"/>
  <c r="F177" i="23" s="1"/>
  <c r="F178" i="23" s="1"/>
  <c r="F179" i="23" s="1"/>
  <c r="F180" i="23" s="1"/>
  <c r="F181" i="23" s="1"/>
  <c r="F182" i="23" s="1"/>
  <c r="F183" i="23" s="1"/>
  <c r="F184" i="23" s="1"/>
  <c r="F185" i="23" s="1"/>
  <c r="F186" i="23" s="1"/>
  <c r="F187" i="23" s="1"/>
  <c r="F188" i="23" s="1"/>
  <c r="F189" i="23" s="1"/>
  <c r="F190" i="23" s="1"/>
  <c r="F191" i="23" s="1"/>
  <c r="F192" i="23" s="1"/>
  <c r="F193" i="23" s="1"/>
  <c r="F194" i="23" s="1"/>
  <c r="F195" i="23" s="1"/>
  <c r="F196" i="23" s="1"/>
  <c r="F197" i="23" s="1"/>
  <c r="F198" i="23" s="1"/>
  <c r="F199" i="23" s="1"/>
  <c r="F200" i="23" s="1"/>
  <c r="F201" i="23" s="1"/>
  <c r="F202" i="23" s="1"/>
  <c r="F203" i="23" s="1"/>
  <c r="F204" i="23" s="1"/>
  <c r="F205" i="23" s="1"/>
  <c r="F206" i="23" s="1"/>
  <c r="F207" i="23" s="1"/>
  <c r="F208" i="23" s="1"/>
  <c r="F209" i="23" s="1"/>
  <c r="F210" i="23" s="1"/>
  <c r="F211" i="23" s="1"/>
  <c r="F212" i="23" s="1"/>
  <c r="F213" i="23" s="1"/>
  <c r="F214" i="23" s="1"/>
  <c r="F215" i="23" s="1"/>
  <c r="F216" i="23" s="1"/>
  <c r="F217" i="23" s="1"/>
  <c r="F218" i="23" s="1"/>
  <c r="F219" i="23" s="1"/>
  <c r="F220" i="23" s="1"/>
  <c r="F221" i="23" s="1"/>
  <c r="F222" i="23" s="1"/>
  <c r="F223" i="23" s="1"/>
  <c r="F224" i="23" s="1"/>
  <c r="F225" i="23" s="1"/>
  <c r="F226" i="23" s="1"/>
  <c r="F227" i="23" s="1"/>
  <c r="F228" i="23" s="1"/>
  <c r="F229" i="23" s="1"/>
  <c r="F230" i="23" s="1"/>
  <c r="F231" i="23" s="1"/>
  <c r="F232" i="23" s="1"/>
  <c r="F233" i="23" s="1"/>
  <c r="F234" i="23" s="1"/>
  <c r="F235" i="23" s="1"/>
  <c r="F236" i="23" s="1"/>
  <c r="F237" i="23" s="1"/>
  <c r="F238" i="23" s="1"/>
  <c r="F239" i="23" s="1"/>
  <c r="F240" i="23" s="1"/>
  <c r="F241" i="23" s="1"/>
  <c r="F242" i="23" s="1"/>
  <c r="F243" i="23" s="1"/>
  <c r="I50" i="19"/>
  <c r="J50" i="19" s="1"/>
  <c r="M9" i="1"/>
  <c r="N4" i="1"/>
  <c r="E7" i="23"/>
  <c r="HO11" i="22" s="1"/>
  <c r="HN5" i="22"/>
  <c r="K9" i="19"/>
  <c r="E83" i="19"/>
  <c r="D3" i="23"/>
  <c r="HN6" i="22" s="1"/>
  <c r="AE151" i="22" l="1"/>
  <c r="AE153" i="22"/>
  <c r="AD154" i="22"/>
  <c r="AD155" i="22" s="1"/>
  <c r="P49" i="22"/>
  <c r="AH152" i="22"/>
  <c r="S71" i="22"/>
  <c r="O16" i="1"/>
  <c r="G33" i="22" s="1"/>
  <c r="AC151" i="22"/>
  <c r="AB152" i="22"/>
  <c r="G43" i="22"/>
  <c r="H17" i="19" s="1"/>
  <c r="B17" i="19" s="1"/>
  <c r="T10" i="1"/>
  <c r="H17" i="1"/>
  <c r="G45" i="22"/>
  <c r="H18" i="19" s="1"/>
  <c r="B18" i="19" s="1"/>
  <c r="H16" i="19"/>
  <c r="B16" i="19" s="1"/>
  <c r="AW112" i="22"/>
  <c r="M5" i="1"/>
  <c r="S10" i="1"/>
  <c r="L5" i="1"/>
  <c r="D246" i="23"/>
  <c r="HN88" i="22" s="1"/>
  <c r="F26" i="22"/>
  <c r="F28" i="22" s="1"/>
  <c r="P73" i="22"/>
  <c r="G55" i="22"/>
  <c r="M87" i="22" s="1"/>
  <c r="M65" i="22"/>
  <c r="H42" i="19" s="1"/>
  <c r="K42" i="19" s="1"/>
  <c r="L42" i="19" s="1"/>
  <c r="K91" i="22"/>
  <c r="S73" i="22" s="1"/>
  <c r="R32" i="1"/>
  <c r="D15" i="24"/>
  <c r="E14" i="24"/>
  <c r="S79" i="22"/>
  <c r="E22" i="19"/>
  <c r="A20" i="19" s="1"/>
  <c r="AG152" i="22"/>
  <c r="AF153" i="22"/>
  <c r="AH153" i="22"/>
  <c r="AI152" i="22"/>
  <c r="B66" i="13"/>
  <c r="B107" i="13"/>
  <c r="B109" i="13"/>
  <c r="C109" i="13" s="1"/>
  <c r="M69" i="22"/>
  <c r="H44" i="19" s="1"/>
  <c r="K44" i="19" s="1"/>
  <c r="L44" i="19" s="1"/>
  <c r="B117" i="13"/>
  <c r="B130" i="13"/>
  <c r="B118" i="13"/>
  <c r="B113" i="13"/>
  <c r="C113" i="13" s="1"/>
  <c r="B126" i="13"/>
  <c r="B67" i="13"/>
  <c r="B68" i="13" s="1"/>
  <c r="B69" i="13" s="1"/>
  <c r="B70" i="13" s="1"/>
  <c r="B71" i="13" s="1"/>
  <c r="B72" i="13" s="1"/>
  <c r="B73" i="13" s="1"/>
  <c r="B77" i="13"/>
  <c r="C77" i="13" s="1"/>
  <c r="B131" i="13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2" i="13"/>
  <c r="B3" i="13" s="1"/>
  <c r="B4" i="13" s="1"/>
  <c r="B5" i="13" s="1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65" i="13"/>
  <c r="M67" i="22"/>
  <c r="H43" i="19" s="1"/>
  <c r="K43" i="19" s="1"/>
  <c r="L43" i="19" s="1"/>
  <c r="H41" i="19"/>
  <c r="K58" i="19"/>
  <c r="L58" i="19" s="1"/>
  <c r="B28" i="19"/>
  <c r="B27" i="19"/>
  <c r="B55" i="19"/>
  <c r="K53" i="19"/>
  <c r="L53" i="19" s="1"/>
  <c r="B56" i="19"/>
  <c r="K55" i="19"/>
  <c r="L55" i="19" s="1"/>
  <c r="B59" i="19"/>
  <c r="K34" i="19"/>
  <c r="L34" i="19" s="1"/>
  <c r="K54" i="19"/>
  <c r="L54" i="19" s="1"/>
  <c r="B62" i="19"/>
  <c r="B29" i="19"/>
  <c r="K29" i="19"/>
  <c r="L29" i="19" s="1"/>
  <c r="K31" i="19"/>
  <c r="L31" i="19" s="1"/>
  <c r="B26" i="19"/>
  <c r="B24" i="19"/>
  <c r="K30" i="19"/>
  <c r="L30" i="19" s="1"/>
  <c r="B53" i="19"/>
  <c r="K25" i="19"/>
  <c r="L25" i="19" s="1"/>
  <c r="B54" i="19"/>
  <c r="B35" i="19"/>
  <c r="K57" i="19"/>
  <c r="L57" i="19" s="1"/>
  <c r="B58" i="19"/>
  <c r="K61" i="19"/>
  <c r="L61" i="19" s="1"/>
  <c r="K24" i="19"/>
  <c r="L24" i="19" s="1"/>
  <c r="B33" i="19"/>
  <c r="K27" i="19"/>
  <c r="L27" i="19" s="1"/>
  <c r="B34" i="19"/>
  <c r="K33" i="19"/>
  <c r="L33" i="19" s="1"/>
  <c r="B31" i="19"/>
  <c r="K59" i="19"/>
  <c r="L59" i="19" s="1"/>
  <c r="B61" i="19"/>
  <c r="B57" i="19"/>
  <c r="K56" i="19"/>
  <c r="L56" i="19" s="1"/>
  <c r="K35" i="19"/>
  <c r="L35" i="19" s="1"/>
  <c r="B30" i="19"/>
  <c r="K26" i="19"/>
  <c r="L26" i="19" s="1"/>
  <c r="K28" i="19"/>
  <c r="L28" i="19" s="1"/>
  <c r="K60" i="19"/>
  <c r="L60" i="19" s="1"/>
  <c r="K32" i="19"/>
  <c r="L32" i="19" s="1"/>
  <c r="B25" i="19"/>
  <c r="B32" i="19"/>
  <c r="B60" i="19"/>
  <c r="L4" i="1"/>
  <c r="M4" i="1"/>
  <c r="L9" i="1"/>
  <c r="D263" i="23"/>
  <c r="HN108" i="22" s="1"/>
  <c r="D274" i="23"/>
  <c r="HN119" i="22" s="1"/>
  <c r="D267" i="23"/>
  <c r="HN112" i="22" s="1"/>
  <c r="D288" i="23"/>
  <c r="HN135" i="22" s="1"/>
  <c r="D272" i="23"/>
  <c r="HN117" i="22" s="1"/>
  <c r="D255" i="23"/>
  <c r="HN99" i="22" s="1"/>
  <c r="D281" i="23"/>
  <c r="HN127" i="22" s="1"/>
  <c r="D286" i="23"/>
  <c r="HN133" i="22" s="1"/>
  <c r="D285" i="23"/>
  <c r="HN132" i="22" s="1"/>
  <c r="D279" i="23"/>
  <c r="HN125" i="22" s="1"/>
  <c r="D265" i="23"/>
  <c r="HN110" i="22" s="1"/>
  <c r="D266" i="23"/>
  <c r="HN111" i="22" s="1"/>
  <c r="D268" i="23"/>
  <c r="HN113" i="22" s="1"/>
  <c r="D259" i="23"/>
  <c r="HN103" i="22" s="1"/>
  <c r="D269" i="23"/>
  <c r="HN114" i="22" s="1"/>
  <c r="D252" i="23"/>
  <c r="HN96" i="22" s="1"/>
  <c r="D276" i="23"/>
  <c r="HN122" i="22" s="1"/>
  <c r="D284" i="23"/>
  <c r="HN131" i="22" s="1"/>
  <c r="D256" i="23"/>
  <c r="HN100" i="22" s="1"/>
  <c r="D280" i="23"/>
  <c r="HN126" i="22" s="1"/>
  <c r="D277" i="23"/>
  <c r="HN123" i="22" s="1"/>
  <c r="D270" i="23"/>
  <c r="HN115" i="22" s="1"/>
  <c r="D262" i="23"/>
  <c r="HN106" i="22" s="1"/>
  <c r="HO89" i="22"/>
  <c r="D257" i="23"/>
  <c r="HN101" i="22" s="1"/>
  <c r="D264" i="23"/>
  <c r="HN109" i="22" s="1"/>
  <c r="D287" i="23"/>
  <c r="HN134" i="22" s="1"/>
  <c r="D250" i="23"/>
  <c r="HN92" i="22" s="1"/>
  <c r="D275" i="23"/>
  <c r="HN120" i="22" s="1"/>
  <c r="D273" i="23"/>
  <c r="HN118" i="22" s="1"/>
  <c r="D283" i="23"/>
  <c r="HN130" i="22" s="1"/>
  <c r="D278" i="23"/>
  <c r="HN124" i="22" s="1"/>
  <c r="D251" i="23"/>
  <c r="HN95" i="22" s="1"/>
  <c r="D260" i="23"/>
  <c r="HN104" i="22" s="1"/>
  <c r="D289" i="23"/>
  <c r="HN136" i="22" s="1"/>
  <c r="D282" i="23"/>
  <c r="HN128" i="22" s="1"/>
  <c r="D258" i="23"/>
  <c r="HN102" i="22" s="1"/>
  <c r="D254" i="23"/>
  <c r="HN98" i="22" s="1"/>
  <c r="D271" i="23"/>
  <c r="HN116" i="22" s="1"/>
  <c r="D261" i="23"/>
  <c r="HN105" i="22" s="1"/>
  <c r="D253" i="23"/>
  <c r="HN97" i="22" s="1"/>
  <c r="A18" i="19"/>
  <c r="J20" i="19"/>
  <c r="AE154" i="22"/>
  <c r="Q148" i="24"/>
  <c r="Q57" i="24"/>
  <c r="Q205" i="24"/>
  <c r="Q74" i="24"/>
  <c r="Q91" i="24"/>
  <c r="Q26" i="24"/>
  <c r="Q175" i="24"/>
  <c r="Q155" i="24"/>
  <c r="Q127" i="24"/>
  <c r="Q194" i="24"/>
  <c r="Q139" i="24"/>
  <c r="Q207" i="24"/>
  <c r="Q112" i="24"/>
  <c r="Q201" i="24"/>
  <c r="Q77" i="24"/>
  <c r="Q185" i="24"/>
  <c r="Q61" i="24"/>
  <c r="Q69" i="24"/>
  <c r="Q184" i="24"/>
  <c r="Q247" i="24"/>
  <c r="Q97" i="24"/>
  <c r="Q136" i="24"/>
  <c r="Q68" i="24"/>
  <c r="Q182" i="24"/>
  <c r="Q183" i="24"/>
  <c r="Q92" i="24"/>
  <c r="Q85" i="24"/>
  <c r="Q140" i="24"/>
  <c r="Q241" i="24"/>
  <c r="Q113" i="24"/>
  <c r="Q58" i="24"/>
  <c r="Q233" i="24"/>
  <c r="Q163" i="24"/>
  <c r="Q157" i="24"/>
  <c r="Q104" i="24"/>
  <c r="Q132" i="24"/>
  <c r="Q146" i="24"/>
  <c r="Q161" i="24"/>
  <c r="Q179" i="24"/>
  <c r="Q236" i="24"/>
  <c r="Q245" i="24"/>
  <c r="Q55" i="24"/>
  <c r="C289" i="23" s="1"/>
  <c r="HM136" i="22" s="1"/>
  <c r="Q36" i="24"/>
  <c r="Q186" i="24"/>
  <c r="Q160" i="24"/>
  <c r="Q159" i="24"/>
  <c r="Q41" i="24"/>
  <c r="Q37" i="24"/>
  <c r="Q166" i="24"/>
  <c r="Q51" i="24"/>
  <c r="C285" i="23" s="1"/>
  <c r="HM132" i="22" s="1"/>
  <c r="Q54" i="24"/>
  <c r="C288" i="23" s="1"/>
  <c r="HM135" i="22" s="1"/>
  <c r="Q213" i="24"/>
  <c r="Q147" i="24"/>
  <c r="Q131" i="24"/>
  <c r="Q28" i="24"/>
  <c r="Q46" i="24"/>
  <c r="C280" i="23" s="1"/>
  <c r="HM126" i="22" s="1"/>
  <c r="Q230" i="24"/>
  <c r="Q167" i="24"/>
  <c r="Q24" i="24"/>
  <c r="Q153" i="24"/>
  <c r="Q30" i="24"/>
  <c r="Q190" i="24"/>
  <c r="Q189" i="24"/>
  <c r="Q59" i="24"/>
  <c r="Q142" i="24"/>
  <c r="Q108" i="24"/>
  <c r="Q129" i="24"/>
  <c r="Q170" i="24"/>
  <c r="Q63" i="24"/>
  <c r="Q217" i="24"/>
  <c r="Q221" i="24"/>
  <c r="Q162" i="24"/>
  <c r="Q35" i="24"/>
  <c r="Q206" i="24"/>
  <c r="Q214" i="24"/>
  <c r="Q33" i="24"/>
  <c r="Q149" i="24"/>
  <c r="Q168" i="24"/>
  <c r="Q216" i="24"/>
  <c r="Q43" i="24"/>
  <c r="C277" i="23" s="1"/>
  <c r="HM123" i="22" s="1"/>
  <c r="Q204" i="24"/>
  <c r="Q225" i="24"/>
  <c r="Q151" i="24"/>
  <c r="Q154" i="24"/>
  <c r="Q172" i="24"/>
  <c r="Q208" i="24"/>
  <c r="Q246" i="24"/>
  <c r="Q105" i="24"/>
  <c r="Q50" i="24"/>
  <c r="C284" i="23" s="1"/>
  <c r="HM131" i="22" s="1"/>
  <c r="Q229" i="24"/>
  <c r="Q188" i="24"/>
  <c r="Q191" i="24"/>
  <c r="Q114" i="24"/>
  <c r="Q99" i="24"/>
  <c r="Q128" i="24"/>
  <c r="Q248" i="24"/>
  <c r="Q25" i="24"/>
  <c r="Q29" i="24"/>
  <c r="Q106" i="24"/>
  <c r="Q165" i="24"/>
  <c r="Q100" i="24"/>
  <c r="Q32" i="24"/>
  <c r="Q103" i="24"/>
  <c r="Q223" i="24"/>
  <c r="Q232" i="24"/>
  <c r="Q195" i="24"/>
  <c r="Q231" i="24"/>
  <c r="Q193" i="24"/>
  <c r="Q47" i="24"/>
  <c r="C281" i="23" s="1"/>
  <c r="HM127" i="22" s="1"/>
  <c r="Q178" i="24"/>
  <c r="Q176" i="24"/>
  <c r="Q202" i="24"/>
  <c r="Q84" i="24"/>
  <c r="Q238" i="24"/>
  <c r="Q228" i="24"/>
  <c r="Q121" i="24"/>
  <c r="Q45" i="24"/>
  <c r="C279" i="23" s="1"/>
  <c r="HM125" i="22" s="1"/>
  <c r="Q18" i="24"/>
  <c r="Q197" i="24"/>
  <c r="Q150" i="24"/>
  <c r="Q67" i="24"/>
  <c r="Q220" i="24"/>
  <c r="Q31" i="24"/>
  <c r="Q38" i="24"/>
  <c r="Q56" i="24"/>
  <c r="Q173" i="24"/>
  <c r="Q158" i="24"/>
  <c r="Q130" i="24"/>
  <c r="Q88" i="24"/>
  <c r="Q192" i="24"/>
  <c r="Q52" i="24"/>
  <c r="C286" i="23" s="1"/>
  <c r="HM133" i="22" s="1"/>
  <c r="Q177" i="24"/>
  <c r="Q78" i="24"/>
  <c r="Q122" i="24"/>
  <c r="Q19" i="24"/>
  <c r="Q42" i="24"/>
  <c r="C276" i="23" s="1"/>
  <c r="HM122" i="22" s="1"/>
  <c r="Q73" i="24"/>
  <c r="Q137" i="24"/>
  <c r="Q174" i="24"/>
  <c r="Q66" i="24"/>
  <c r="Q119" i="24"/>
  <c r="Q17" i="24"/>
  <c r="Q222" i="24"/>
  <c r="Q87" i="24"/>
  <c r="Q120" i="24"/>
  <c r="Q89" i="24"/>
  <c r="Q143" i="24"/>
  <c r="Q196" i="24"/>
  <c r="Q49" i="24"/>
  <c r="C283" i="23" s="1"/>
  <c r="HM130" i="22" s="1"/>
  <c r="Q224" i="24"/>
  <c r="Q171" i="24"/>
  <c r="Q82" i="24"/>
  <c r="Q200" i="24"/>
  <c r="Q237" i="24"/>
  <c r="Q199" i="24"/>
  <c r="Q70" i="24"/>
  <c r="Q72" i="24"/>
  <c r="Q40" i="24"/>
  <c r="Q239" i="24"/>
  <c r="Q65" i="24"/>
  <c r="Q181" i="24"/>
  <c r="Q116" i="24"/>
  <c r="HM11" i="22"/>
  <c r="Q81" i="24"/>
  <c r="Q64" i="24"/>
  <c r="Q134" i="24"/>
  <c r="Q138" i="24"/>
  <c r="Q135" i="24"/>
  <c r="Q209" i="24"/>
  <c r="Q44" i="24"/>
  <c r="C278" i="23" s="1"/>
  <c r="HM124" i="22" s="1"/>
  <c r="Q115" i="24"/>
  <c r="Q95" i="24"/>
  <c r="Q180" i="24"/>
  <c r="Q198" i="24"/>
  <c r="Q60" i="24"/>
  <c r="Q169" i="24"/>
  <c r="Q164" i="24"/>
  <c r="Q187" i="24"/>
  <c r="Q152" i="24"/>
  <c r="Q27" i="24"/>
  <c r="Q39" i="24"/>
  <c r="Q156" i="24"/>
  <c r="Q34" i="24"/>
  <c r="Q22" i="24"/>
  <c r="Q96" i="24"/>
  <c r="Q123" i="24"/>
  <c r="Q145" i="24"/>
  <c r="Q79" i="24"/>
  <c r="Q215" i="24"/>
  <c r="Q76" i="24"/>
  <c r="Q23" i="24"/>
  <c r="Q53" i="24"/>
  <c r="C287" i="23" s="1"/>
  <c r="HM134" i="22" s="1"/>
  <c r="Q249" i="24"/>
  <c r="Q21" i="24"/>
  <c r="Q20" i="24"/>
  <c r="Q90" i="24"/>
  <c r="Q212" i="24"/>
  <c r="Q124" i="24"/>
  <c r="Q83" i="24"/>
  <c r="Q240" i="24"/>
  <c r="Q107" i="24"/>
  <c r="Q62" i="24"/>
  <c r="Q48" i="24"/>
  <c r="C282" i="23" s="1"/>
  <c r="HM128" i="22" s="1"/>
  <c r="Q75" i="24"/>
  <c r="Q71" i="24"/>
  <c r="Q98" i="24"/>
  <c r="Q144" i="24"/>
  <c r="Q111" i="24"/>
  <c r="Q141" i="24"/>
  <c r="Q80" i="24"/>
  <c r="Q244" i="24"/>
  <c r="Z60" i="22"/>
  <c r="G49" i="22"/>
  <c r="H19" i="19"/>
  <c r="O6" i="1"/>
  <c r="BI113" i="22"/>
  <c r="M6" i="1"/>
  <c r="N6" i="1"/>
  <c r="M71" i="22" l="1"/>
  <c r="M73" i="22" s="1"/>
  <c r="M79" i="22" s="1"/>
  <c r="B114" i="13"/>
  <c r="C114" i="13" s="1"/>
  <c r="B78" i="13"/>
  <c r="C78" i="13" s="1"/>
  <c r="B110" i="13"/>
  <c r="C110" i="13" s="1"/>
  <c r="B42" i="19"/>
  <c r="G35" i="22"/>
  <c r="AB153" i="22"/>
  <c r="AC152" i="22"/>
  <c r="H23" i="19"/>
  <c r="H51" i="19" s="1"/>
  <c r="E46" i="19"/>
  <c r="J46" i="19" s="1"/>
  <c r="D16" i="24"/>
  <c r="E15" i="24"/>
  <c r="B144" i="13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AG153" i="22"/>
  <c r="AF154" i="22"/>
  <c r="AI153" i="22"/>
  <c r="AH154" i="22"/>
  <c r="B44" i="19"/>
  <c r="B43" i="19"/>
  <c r="B41" i="19"/>
  <c r="AE155" i="22"/>
  <c r="AD156" i="22"/>
  <c r="B19" i="19"/>
  <c r="K19" i="19"/>
  <c r="L19" i="19" s="1"/>
  <c r="G51" i="22"/>
  <c r="H20" i="19"/>
  <c r="H46" i="19" l="1"/>
  <c r="H45" i="19"/>
  <c r="B45" i="19" s="1"/>
  <c r="B176" i="13"/>
  <c r="B177" i="13" s="1"/>
  <c r="B178" i="13" s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s="1"/>
  <c r="B263" i="13" s="1"/>
  <c r="B264" i="13" s="1"/>
  <c r="B265" i="13" s="1"/>
  <c r="B266" i="13" s="1"/>
  <c r="B267" i="13" s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M41" i="19"/>
  <c r="M19" i="19"/>
  <c r="AC47" i="22" s="1"/>
  <c r="M42" i="19"/>
  <c r="R42" i="19" s="1"/>
  <c r="M43" i="19"/>
  <c r="AF67" i="22" s="1"/>
  <c r="M44" i="19"/>
  <c r="R44" i="19" s="1"/>
  <c r="AC153" i="22"/>
  <c r="AB154" i="22"/>
  <c r="A46" i="19"/>
  <c r="H52" i="19"/>
  <c r="B52" i="19" s="1"/>
  <c r="B23" i="19"/>
  <c r="D17" i="24"/>
  <c r="E16" i="24"/>
  <c r="AH155" i="22"/>
  <c r="AI154" i="22"/>
  <c r="AG154" i="22"/>
  <c r="AF155" i="22"/>
  <c r="H47" i="19"/>
  <c r="M81" i="22"/>
  <c r="M83" i="22" s="1"/>
  <c r="M75" i="22" s="1"/>
  <c r="AD157" i="22"/>
  <c r="AE156" i="22"/>
  <c r="B51" i="19"/>
  <c r="B20" i="19"/>
  <c r="M20" i="19"/>
  <c r="AC49" i="22" s="1"/>
  <c r="K20" i="19"/>
  <c r="L20" i="19" s="1"/>
  <c r="G53" i="22"/>
  <c r="H22" i="19" s="1"/>
  <c r="H21" i="19"/>
  <c r="M46" i="19" l="1"/>
  <c r="K46" i="19" s="1"/>
  <c r="L46" i="19" s="1"/>
  <c r="B46" i="19"/>
  <c r="K45" i="19"/>
  <c r="L45" i="19" s="1"/>
  <c r="M45" i="19"/>
  <c r="R45" i="19" s="1"/>
  <c r="R41" i="19"/>
  <c r="K41" i="19"/>
  <c r="L41" i="19" s="1"/>
  <c r="M85" i="22"/>
  <c r="H50" i="19" s="1"/>
  <c r="B50" i="19" s="1"/>
  <c r="AF63" i="22"/>
  <c r="AF65" i="22"/>
  <c r="R43" i="19"/>
  <c r="AF69" i="22"/>
  <c r="AB155" i="22"/>
  <c r="AC154" i="22"/>
  <c r="E17" i="24"/>
  <c r="D18" i="24"/>
  <c r="AG155" i="22"/>
  <c r="AF156" i="22"/>
  <c r="AH156" i="22"/>
  <c r="AI155" i="22"/>
  <c r="AE157" i="22"/>
  <c r="AD158" i="22"/>
  <c r="B47" i="19"/>
  <c r="M47" i="19"/>
  <c r="K47" i="19" s="1"/>
  <c r="L47" i="19" s="1"/>
  <c r="B21" i="19"/>
  <c r="B22" i="19"/>
  <c r="AF71" i="22" l="1"/>
  <c r="R46" i="19"/>
  <c r="AF73" i="22"/>
  <c r="M50" i="19"/>
  <c r="K50" i="19" s="1"/>
  <c r="L50" i="19" s="1"/>
  <c r="H48" i="19"/>
  <c r="K75" i="22"/>
  <c r="M77" i="22" s="1"/>
  <c r="AC155" i="22"/>
  <c r="AB156" i="22"/>
  <c r="D19" i="24"/>
  <c r="E18" i="24"/>
  <c r="AH157" i="22"/>
  <c r="AI156" i="22"/>
  <c r="AF157" i="22"/>
  <c r="AG156" i="22"/>
  <c r="AF79" i="22"/>
  <c r="R47" i="19"/>
  <c r="AD159" i="22"/>
  <c r="AE158" i="22"/>
  <c r="AF85" i="22" l="1"/>
  <c r="R50" i="19"/>
  <c r="AF77" i="22"/>
  <c r="B48" i="19"/>
  <c r="M48" i="19"/>
  <c r="K48" i="19" s="1"/>
  <c r="L48" i="19" s="1"/>
  <c r="S77" i="22"/>
  <c r="H49" i="19"/>
  <c r="AB157" i="22"/>
  <c r="AC156" i="22"/>
  <c r="E19" i="24"/>
  <c r="D20" i="24"/>
  <c r="AF158" i="22"/>
  <c r="AG157" i="22"/>
  <c r="AI157" i="22"/>
  <c r="AH158" i="22"/>
  <c r="AE159" i="22"/>
  <c r="AD160" i="22"/>
  <c r="K49" i="19" l="1"/>
  <c r="L49" i="19" s="1"/>
  <c r="M49" i="19"/>
  <c r="B49" i="19"/>
  <c r="AF81" i="22"/>
  <c r="AF75" i="22"/>
  <c r="R48" i="19"/>
  <c r="AC157" i="22"/>
  <c r="AB158" i="22"/>
  <c r="E20" i="24"/>
  <c r="D21" i="24"/>
  <c r="AI158" i="22"/>
  <c r="AH159" i="22"/>
  <c r="AG158" i="22"/>
  <c r="AF159" i="22"/>
  <c r="AE160" i="22"/>
  <c r="AD161" i="22"/>
  <c r="AF83" i="22" l="1"/>
  <c r="R49" i="19"/>
  <c r="AB159" i="22"/>
  <c r="AC158" i="22"/>
  <c r="D22" i="24"/>
  <c r="E21" i="24"/>
  <c r="AH160" i="22"/>
  <c r="AI159" i="22"/>
  <c r="AF160" i="22"/>
  <c r="AG159" i="22"/>
  <c r="AD162" i="22"/>
  <c r="AE161" i="22"/>
  <c r="AB160" i="22" l="1"/>
  <c r="AC159" i="22"/>
  <c r="D23" i="24"/>
  <c r="E23" i="24" s="1"/>
  <c r="E22" i="24"/>
  <c r="AI160" i="22"/>
  <c r="AH161" i="22"/>
  <c r="AG160" i="22"/>
  <c r="AF161" i="22"/>
  <c r="AE162" i="22"/>
  <c r="AD163" i="22"/>
  <c r="AC160" i="22" l="1"/>
  <c r="AB161" i="22"/>
  <c r="AG161" i="22"/>
  <c r="AF162" i="22"/>
  <c r="AH162" i="22"/>
  <c r="AI161" i="22"/>
  <c r="AE163" i="22"/>
  <c r="AD164" i="22"/>
  <c r="AC161" i="22" l="1"/>
  <c r="AB162" i="22"/>
  <c r="AI162" i="22"/>
  <c r="AH163" i="22"/>
  <c r="AG162" i="22"/>
  <c r="AF163" i="22"/>
  <c r="AE164" i="22"/>
  <c r="AD165" i="22"/>
  <c r="AC162" i="22" l="1"/>
  <c r="AB163" i="22"/>
  <c r="AF164" i="22"/>
  <c r="AG163" i="22"/>
  <c r="AI163" i="22"/>
  <c r="AH164" i="22"/>
  <c r="AD166" i="22"/>
  <c r="AE165" i="22"/>
  <c r="AB164" i="22" l="1"/>
  <c r="AC163" i="22"/>
  <c r="AI164" i="22"/>
  <c r="AH165" i="22"/>
  <c r="AF165" i="22"/>
  <c r="AG164" i="22"/>
  <c r="AE166" i="22"/>
  <c r="AD167" i="22"/>
  <c r="AC164" i="22" l="1"/>
  <c r="AB165" i="22"/>
  <c r="AF166" i="22"/>
  <c r="AG165" i="22"/>
  <c r="AH166" i="22"/>
  <c r="AI165" i="22"/>
  <c r="AE167" i="22"/>
  <c r="AD168" i="22"/>
  <c r="AC165" i="22" l="1"/>
  <c r="AB166" i="22"/>
  <c r="AH167" i="22"/>
  <c r="AI166" i="22"/>
  <c r="AG166" i="22"/>
  <c r="AF167" i="22"/>
  <c r="AE168" i="22"/>
  <c r="AD169" i="22"/>
  <c r="AB167" i="22" l="1"/>
  <c r="AC166" i="22"/>
  <c r="AG167" i="22"/>
  <c r="AF168" i="22"/>
  <c r="AI167" i="22"/>
  <c r="AH168" i="22"/>
  <c r="AD170" i="22"/>
  <c r="AE169" i="22"/>
  <c r="AC167" i="22" l="1"/>
  <c r="AB168" i="22"/>
  <c r="AI168" i="22"/>
  <c r="AH169" i="22"/>
  <c r="AF169" i="22"/>
  <c r="AG168" i="22"/>
  <c r="AD171" i="22"/>
  <c r="AE170" i="22"/>
  <c r="AB169" i="22" l="1"/>
  <c r="AC168" i="22"/>
  <c r="AG169" i="22"/>
  <c r="AF170" i="22"/>
  <c r="AI169" i="22"/>
  <c r="AH170" i="22"/>
  <c r="AD172" i="22"/>
  <c r="AE171" i="22"/>
  <c r="AC169" i="22" l="1"/>
  <c r="AB170" i="22"/>
  <c r="AH171" i="22"/>
  <c r="AI170" i="22"/>
  <c r="AG170" i="22"/>
  <c r="AF171" i="22"/>
  <c r="AE172" i="22"/>
  <c r="AD173" i="22"/>
  <c r="AC170" i="22" l="1"/>
  <c r="AB171" i="22"/>
  <c r="AF172" i="22"/>
  <c r="AG171" i="22"/>
  <c r="AI171" i="22"/>
  <c r="AH172" i="22"/>
  <c r="AE173" i="22"/>
  <c r="AD174" i="22"/>
  <c r="AB172" i="22" l="1"/>
  <c r="AC171" i="22"/>
  <c r="AI172" i="22"/>
  <c r="AH173" i="22"/>
  <c r="AG172" i="22"/>
  <c r="AF173" i="22"/>
  <c r="AD175" i="22"/>
  <c r="AE174" i="22"/>
  <c r="AB173" i="22" l="1"/>
  <c r="AC172" i="22"/>
  <c r="AG173" i="22"/>
  <c r="AF174" i="22"/>
  <c r="AI173" i="22"/>
  <c r="AH174" i="22"/>
  <c r="AE175" i="22"/>
  <c r="AD176" i="22"/>
  <c r="AC173" i="22" l="1"/>
  <c r="AB174" i="22"/>
  <c r="AI174" i="22"/>
  <c r="AH175" i="22"/>
  <c r="AG174" i="22"/>
  <c r="AF175" i="22"/>
  <c r="AD177" i="22"/>
  <c r="AE176" i="22"/>
  <c r="AB175" i="22" l="1"/>
  <c r="AC174" i="22"/>
  <c r="AF176" i="22"/>
  <c r="AG175" i="22"/>
  <c r="AH176" i="22"/>
  <c r="AI175" i="22"/>
  <c r="AE177" i="22"/>
  <c r="AD178" i="22"/>
  <c r="AC175" i="22" l="1"/>
  <c r="AB176" i="22"/>
  <c r="AI176" i="22"/>
  <c r="AH177" i="22"/>
  <c r="AG176" i="22"/>
  <c r="AF177" i="22"/>
  <c r="AE178" i="22"/>
  <c r="AD179" i="22"/>
  <c r="AC176" i="22" l="1"/>
  <c r="AB177" i="22"/>
  <c r="AF178" i="22"/>
  <c r="AG177" i="22"/>
  <c r="AH178" i="22"/>
  <c r="AI177" i="22"/>
  <c r="AD180" i="22"/>
  <c r="AE179" i="22"/>
  <c r="AB178" i="22" l="1"/>
  <c r="AC177" i="22"/>
  <c r="AI178" i="22"/>
  <c r="AH179" i="22"/>
  <c r="AG178" i="22"/>
  <c r="AF179" i="22"/>
  <c r="AE180" i="22"/>
  <c r="AD181" i="22"/>
  <c r="AC178" i="22" l="1"/>
  <c r="AB179" i="22"/>
  <c r="AG179" i="22"/>
  <c r="AF180" i="22"/>
  <c r="AH180" i="22"/>
  <c r="AI179" i="22"/>
  <c r="AE181" i="22"/>
  <c r="AD182" i="22"/>
  <c r="AC179" i="22" l="1"/>
  <c r="AB180" i="22"/>
  <c r="AH181" i="22"/>
  <c r="AI180" i="22"/>
  <c r="AF181" i="22"/>
  <c r="AG180" i="22"/>
  <c r="AE182" i="22"/>
  <c r="AD183" i="22"/>
  <c r="AC180" i="22" l="1"/>
  <c r="AB181" i="22"/>
  <c r="AF182" i="22"/>
  <c r="AG181" i="22"/>
  <c r="AI181" i="22"/>
  <c r="AH182" i="22"/>
  <c r="AE183" i="22"/>
  <c r="AD184" i="22"/>
  <c r="AB182" i="22" l="1"/>
  <c r="AC181" i="22"/>
  <c r="AH183" i="22"/>
  <c r="AI182" i="22"/>
  <c r="AG182" i="22"/>
  <c r="AF183" i="22"/>
  <c r="AE184" i="22"/>
  <c r="AD185" i="22"/>
  <c r="AB183" i="22" l="1"/>
  <c r="AC182" i="22"/>
  <c r="AF184" i="22"/>
  <c r="AG183" i="22"/>
  <c r="AI183" i="22"/>
  <c r="AH184" i="22"/>
  <c r="AE185" i="22"/>
  <c r="AD186" i="22"/>
  <c r="AB184" i="22" l="1"/>
  <c r="AC183" i="22"/>
  <c r="AH185" i="22"/>
  <c r="AI184" i="22"/>
  <c r="AG184" i="22"/>
  <c r="AF185" i="22"/>
  <c r="AE186" i="22"/>
  <c r="AD187" i="22"/>
  <c r="AB185" i="22" l="1"/>
  <c r="AC184" i="22"/>
  <c r="AG185" i="22"/>
  <c r="AF186" i="22"/>
  <c r="AH186" i="22"/>
  <c r="AI185" i="22"/>
  <c r="AD188" i="22"/>
  <c r="AE187" i="22"/>
  <c r="AB186" i="22" l="1"/>
  <c r="AC185" i="22"/>
  <c r="AI186" i="22"/>
  <c r="AH187" i="22"/>
  <c r="AF187" i="22"/>
  <c r="AG186" i="22"/>
  <c r="AD189" i="22"/>
  <c r="AE188" i="22"/>
  <c r="AB187" i="22" l="1"/>
  <c r="AC186" i="22"/>
  <c r="AF188" i="22"/>
  <c r="AG187" i="22"/>
  <c r="AI187" i="22"/>
  <c r="AH188" i="22"/>
  <c r="AD190" i="22"/>
  <c r="AE190" i="22" s="1"/>
  <c r="AE189" i="22"/>
  <c r="AC187" i="22" l="1"/>
  <c r="AB188" i="22"/>
  <c r="AH189" i="22"/>
  <c r="AI188" i="22"/>
  <c r="AG188" i="22"/>
  <c r="AF189" i="22"/>
  <c r="AB189" i="22" l="1"/>
  <c r="AC188" i="22"/>
  <c r="AG189" i="22"/>
  <c r="AF190" i="22"/>
  <c r="AI189" i="22"/>
  <c r="AH190" i="22"/>
  <c r="AC189" i="22" l="1"/>
  <c r="AB190" i="22"/>
  <c r="AG190" i="22"/>
  <c r="M187" i="22"/>
  <c r="S153" i="22"/>
  <c r="M154" i="22"/>
  <c r="O154" i="22" s="1"/>
  <c r="M182" i="22"/>
  <c r="M178" i="22"/>
  <c r="M167" i="22"/>
  <c r="M181" i="22"/>
  <c r="M172" i="22"/>
  <c r="M189" i="22"/>
  <c r="M176" i="22"/>
  <c r="M160" i="22"/>
  <c r="M179" i="22"/>
  <c r="M174" i="22"/>
  <c r="M155" i="22"/>
  <c r="M188" i="22"/>
  <c r="M166" i="22"/>
  <c r="M157" i="22"/>
  <c r="M168" i="22"/>
  <c r="S151" i="22"/>
  <c r="M164" i="22"/>
  <c r="M190" i="22"/>
  <c r="M151" i="22"/>
  <c r="O151" i="22" s="1"/>
  <c r="S154" i="22"/>
  <c r="M186" i="22"/>
  <c r="M163" i="22"/>
  <c r="M180" i="22"/>
  <c r="M165" i="22"/>
  <c r="S152" i="22"/>
  <c r="M175" i="22"/>
  <c r="M184" i="22"/>
  <c r="M177" i="22"/>
  <c r="S189" i="22"/>
  <c r="M173" i="22"/>
  <c r="S190" i="22"/>
  <c r="M161" i="22"/>
  <c r="M152" i="22"/>
  <c r="O152" i="22" s="1"/>
  <c r="M185" i="22"/>
  <c r="M162" i="22"/>
  <c r="M156" i="22"/>
  <c r="M170" i="22"/>
  <c r="M153" i="22"/>
  <c r="O153" i="22" s="1"/>
  <c r="M169" i="22"/>
  <c r="AI190" i="22"/>
  <c r="M183" i="22"/>
  <c r="M171" i="22"/>
  <c r="M159" i="22"/>
  <c r="AC190" i="22" l="1"/>
  <c r="M158" i="22"/>
  <c r="Q242" i="24"/>
  <c r="Q109" i="24"/>
  <c r="Q219" i="24"/>
  <c r="Q126" i="24"/>
  <c r="Q250" i="24"/>
  <c r="Q101" i="24"/>
  <c r="Q218" i="24"/>
  <c r="Q117" i="24"/>
  <c r="Q94" i="24"/>
  <c r="Q227" i="24"/>
  <c r="Q110" i="24"/>
  <c r="Q235" i="24"/>
  <c r="Q203" i="24"/>
  <c r="Q102" i="24"/>
  <c r="Q210" i="24"/>
  <c r="Q234" i="24"/>
  <c r="Q93" i="24"/>
  <c r="Q118" i="24"/>
  <c r="Q226" i="24"/>
  <c r="Q243" i="24"/>
  <c r="Q133" i="24"/>
  <c r="Q211" i="24"/>
  <c r="Q125" i="24"/>
  <c r="Q86" i="24"/>
  <c r="Q16" i="24" l="1"/>
  <c r="HN16" i="22"/>
  <c r="S6" i="22"/>
  <c r="AC71" i="22" s="1"/>
  <c r="M41" i="22" l="1"/>
  <c r="M53" i="22"/>
  <c r="Z51" i="22"/>
  <c r="Z49" i="22"/>
  <c r="M45" i="22"/>
  <c r="W51" i="22"/>
  <c r="M43" i="22"/>
  <c r="J11" i="1"/>
  <c r="Z53" i="22"/>
  <c r="M51" i="22"/>
  <c r="E89" i="22"/>
  <c r="P41" i="22" l="1"/>
  <c r="I16" i="19"/>
  <c r="I22" i="19"/>
  <c r="J22" i="19" s="1"/>
  <c r="M22" i="19" s="1"/>
  <c r="P53" i="22"/>
  <c r="O7" i="1"/>
  <c r="S4" i="22"/>
  <c r="O4" i="1"/>
  <c r="J17" i="1"/>
  <c r="S26" i="22" s="1"/>
  <c r="P87" i="22" s="1"/>
  <c r="P45" i="22"/>
  <c r="I18" i="19"/>
  <c r="P51" i="22"/>
  <c r="I21" i="19"/>
  <c r="I17" i="19"/>
  <c r="P43" i="22"/>
  <c r="K18" i="19" l="1"/>
  <c r="L18" i="19" s="1"/>
  <c r="M18" i="19"/>
  <c r="AC45" i="22" s="1"/>
  <c r="J18" i="19"/>
  <c r="P13" i="1"/>
  <c r="T45" i="22"/>
  <c r="U45" i="22" s="1"/>
  <c r="U46" i="22" s="1"/>
  <c r="S63" i="22"/>
  <c r="T41" i="22"/>
  <c r="Z43" i="22" s="1"/>
  <c r="T42" i="22"/>
  <c r="T43" i="22" s="1"/>
  <c r="T40" i="22"/>
  <c r="Z40" i="22" s="1"/>
  <c r="Z45" i="22" s="1"/>
  <c r="Z46" i="22" s="1"/>
  <c r="M55" i="22"/>
  <c r="O5" i="1"/>
  <c r="O10" i="1" s="1"/>
  <c r="S28" i="22" s="1"/>
  <c r="I51" i="19"/>
  <c r="J16" i="19"/>
  <c r="M16" i="19"/>
  <c r="K16" i="19"/>
  <c r="L16" i="19" s="1"/>
  <c r="J25" i="1"/>
  <c r="GZ14" i="22" s="1"/>
  <c r="AC53" i="22"/>
  <c r="K22" i="19"/>
  <c r="L22" i="19" s="1"/>
  <c r="J21" i="19"/>
  <c r="M21" i="19" s="1"/>
  <c r="AC51" i="22" s="1"/>
  <c r="K17" i="19"/>
  <c r="L17" i="19" s="1"/>
  <c r="M17" i="19"/>
  <c r="AC43" i="22" s="1"/>
  <c r="J17" i="19"/>
  <c r="K21" i="19" l="1"/>
  <c r="L21" i="19" s="1"/>
  <c r="S30" i="22"/>
  <c r="S36" i="22" s="1"/>
  <c r="U43" i="22"/>
  <c r="S65" i="22"/>
  <c r="S67" i="22"/>
  <c r="S69" i="22"/>
  <c r="AC41" i="22"/>
  <c r="J51" i="19"/>
  <c r="M51" i="19"/>
  <c r="K51" i="19" s="1"/>
  <c r="L51" i="19" s="1"/>
  <c r="P55" i="22"/>
  <c r="P57" i="22" s="1"/>
  <c r="K57" i="22" s="1"/>
  <c r="S55" i="22"/>
  <c r="I23" i="19"/>
  <c r="R51" i="19" l="1"/>
  <c r="R63" i="19" s="1"/>
  <c r="AF87" i="22"/>
  <c r="M23" i="19"/>
  <c r="K23" i="19" s="1"/>
  <c r="L23" i="19" s="1"/>
  <c r="L36" i="19" s="1"/>
  <c r="J84" i="19" s="1"/>
  <c r="J23" i="19"/>
  <c r="J83" i="19" l="1"/>
  <c r="J85" i="19" s="1"/>
  <c r="J36" i="19"/>
  <c r="AC55" i="22"/>
  <c r="AC57" i="22" s="1"/>
  <c r="M36" i="19"/>
  <c r="I11" i="19" l="1"/>
  <c r="I87" i="19"/>
  <c r="R64" i="19"/>
  <c r="Q64" i="19" s="1"/>
  <c r="AB87" i="22" s="1"/>
  <c r="G89" i="19"/>
  <c r="P88" i="22" l="1"/>
  <c r="U88" i="22"/>
  <c r="I52" i="19" l="1"/>
  <c r="E91" i="22"/>
  <c r="F112" i="22"/>
  <c r="C112" i="22"/>
  <c r="S85" i="22"/>
  <c r="P90" i="22"/>
  <c r="AK85" i="22" s="1"/>
  <c r="S91" i="22"/>
  <c r="J52" i="19" l="1"/>
  <c r="M52" i="19" s="1"/>
  <c r="K52" i="19" s="1"/>
  <c r="L52" i="19" s="1"/>
  <c r="L63" i="19" s="1"/>
  <c r="M84" i="19" s="1"/>
  <c r="L126" i="22"/>
  <c r="F126" i="22" s="1"/>
  <c r="J112" i="22"/>
  <c r="N112" i="22"/>
  <c r="D247" i="23"/>
  <c r="M83" i="19" l="1"/>
  <c r="M85" i="19" s="1"/>
  <c r="J63" i="19"/>
  <c r="AF88" i="22"/>
  <c r="AF90" i="22" s="1"/>
  <c r="S90" i="22" s="1"/>
  <c r="T90" i="22" s="1"/>
  <c r="M63" i="19"/>
  <c r="E253" i="23"/>
  <c r="HO97" i="22" s="1"/>
  <c r="E287" i="23"/>
  <c r="E274" i="23"/>
  <c r="E284" i="23"/>
  <c r="E285" i="23"/>
  <c r="E267" i="23"/>
  <c r="E278" i="23"/>
  <c r="E265" i="23"/>
  <c r="E260" i="23"/>
  <c r="HN89" i="22"/>
  <c r="E255" i="23"/>
  <c r="E270" i="23"/>
  <c r="E271" i="23"/>
  <c r="E258" i="23"/>
  <c r="E252" i="23"/>
  <c r="HO96" i="22" s="1"/>
  <c r="E280" i="23"/>
  <c r="E288" i="23"/>
  <c r="E277" i="23"/>
  <c r="E264" i="23"/>
  <c r="E272" i="23"/>
  <c r="E276" i="23"/>
  <c r="E283" i="23"/>
  <c r="E269" i="23"/>
  <c r="E263" i="23"/>
  <c r="E257" i="23"/>
  <c r="E281" i="23"/>
  <c r="E279" i="23"/>
  <c r="E262" i="23"/>
  <c r="E259" i="23"/>
  <c r="E251" i="23"/>
  <c r="E282" i="23"/>
  <c r="E261" i="23"/>
  <c r="E254" i="23"/>
  <c r="E273" i="23"/>
  <c r="E286" i="23"/>
  <c r="E268" i="23"/>
  <c r="E275" i="23"/>
  <c r="E256" i="23"/>
  <c r="E266" i="23"/>
  <c r="E289" i="23"/>
  <c r="HO98" i="22" l="1"/>
  <c r="J155" i="22"/>
  <c r="J172" i="22"/>
  <c r="HO116" i="22"/>
  <c r="J160" i="22"/>
  <c r="HO103" i="22"/>
  <c r="HO135" i="22"/>
  <c r="J189" i="22"/>
  <c r="O189" i="22" s="1"/>
  <c r="J161" i="22"/>
  <c r="HO104" i="22"/>
  <c r="HO132" i="22"/>
  <c r="J186" i="22"/>
  <c r="J157" i="22"/>
  <c r="HO100" i="22"/>
  <c r="HO118" i="22"/>
  <c r="J174" i="22"/>
  <c r="HO95" i="22"/>
  <c r="BC113" i="22"/>
  <c r="BF113" i="22" s="1"/>
  <c r="HO127" i="22"/>
  <c r="J182" i="22"/>
  <c r="HO130" i="22"/>
  <c r="J184" i="22"/>
  <c r="HO123" i="22"/>
  <c r="J178" i="22"/>
  <c r="HO102" i="22"/>
  <c r="J159" i="22"/>
  <c r="J168" i="22"/>
  <c r="HO112" i="22"/>
  <c r="HO134" i="22"/>
  <c r="J188" i="22"/>
  <c r="M87" i="19"/>
  <c r="G70" i="19"/>
  <c r="J70" i="19"/>
  <c r="G69" i="19"/>
  <c r="J69" i="19"/>
  <c r="G71" i="19"/>
  <c r="J71" i="19"/>
  <c r="P36" i="19"/>
  <c r="HO120" i="22"/>
  <c r="J176" i="22"/>
  <c r="HO122" i="22"/>
  <c r="J177" i="22"/>
  <c r="HO133" i="22"/>
  <c r="J187" i="22"/>
  <c r="J180" i="22"/>
  <c r="HO125" i="22"/>
  <c r="J165" i="22"/>
  <c r="HO109" i="22"/>
  <c r="J156" i="22"/>
  <c r="HO99" i="22"/>
  <c r="HO124" i="22"/>
  <c r="J179" i="22"/>
  <c r="HO119" i="22"/>
  <c r="J175" i="22"/>
  <c r="J158" i="22"/>
  <c r="HO101" i="22"/>
  <c r="HO111" i="22"/>
  <c r="J167" i="22"/>
  <c r="HO128" i="22"/>
  <c r="J183" i="22"/>
  <c r="HO114" i="22"/>
  <c r="J170" i="22"/>
  <c r="HO136" i="22"/>
  <c r="J190" i="22"/>
  <c r="O190" i="22" s="1"/>
  <c r="J169" i="22"/>
  <c r="HO113" i="22"/>
  <c r="J162" i="22"/>
  <c r="HO105" i="22"/>
  <c r="HO106" i="22"/>
  <c r="J163" i="22"/>
  <c r="J164" i="22"/>
  <c r="HO108" i="22"/>
  <c r="J173" i="22"/>
  <c r="HO117" i="22"/>
  <c r="HO126" i="22"/>
  <c r="J181" i="22"/>
  <c r="J171" i="22"/>
  <c r="HO115" i="22"/>
  <c r="HO110" i="22"/>
  <c r="J166" i="22"/>
  <c r="HO131" i="22"/>
  <c r="J185" i="22"/>
  <c r="J89" i="19"/>
  <c r="L89" i="19" s="1"/>
  <c r="M89" i="19" s="1"/>
  <c r="Q52" i="19"/>
  <c r="P52" i="19" s="1"/>
  <c r="Z88" i="22" s="1"/>
  <c r="Q42" i="19"/>
  <c r="P42" i="19" s="1"/>
  <c r="Z65" i="22" s="1"/>
  <c r="Q43" i="19"/>
  <c r="P43" i="19" s="1"/>
  <c r="Z67" i="22" s="1"/>
  <c r="Q49" i="19"/>
  <c r="P49" i="19" s="1"/>
  <c r="Q48" i="19"/>
  <c r="P48" i="19" s="1"/>
  <c r="Q46" i="19"/>
  <c r="P46" i="19" s="1"/>
  <c r="Z73" i="22" s="1"/>
  <c r="Q47" i="19"/>
  <c r="P47" i="19" s="1"/>
  <c r="Z79" i="22" s="1"/>
  <c r="Q41" i="19"/>
  <c r="P41" i="19" s="1"/>
  <c r="Z63" i="22" s="1"/>
  <c r="Q45" i="19"/>
  <c r="P45" i="19" s="1"/>
  <c r="Z71" i="22" s="1"/>
  <c r="Q51" i="19"/>
  <c r="P51" i="19" s="1"/>
  <c r="Q50" i="19"/>
  <c r="P50" i="19" s="1"/>
  <c r="Z85" i="22" s="1"/>
  <c r="Q44" i="19"/>
  <c r="P44" i="19" s="1"/>
  <c r="Z69" i="22" s="1"/>
  <c r="S155" i="22" l="1"/>
  <c r="O155" i="22"/>
  <c r="Z83" i="22"/>
  <c r="Z77" i="22"/>
  <c r="S164" i="22"/>
  <c r="O164" i="22"/>
  <c r="S162" i="22"/>
  <c r="O162" i="22"/>
  <c r="S158" i="22"/>
  <c r="O158" i="22"/>
  <c r="O165" i="22"/>
  <c r="S165" i="22"/>
  <c r="L69" i="19"/>
  <c r="J72" i="19"/>
  <c r="O168" i="22"/>
  <c r="S168" i="22"/>
  <c r="S172" i="22"/>
  <c r="O172" i="22"/>
  <c r="Z75" i="22"/>
  <c r="Z81" i="22"/>
  <c r="S166" i="22"/>
  <c r="O166" i="22"/>
  <c r="S181" i="22"/>
  <c r="O181" i="22"/>
  <c r="O183" i="22"/>
  <c r="S183" i="22"/>
  <c r="S179" i="22"/>
  <c r="O179" i="22"/>
  <c r="S187" i="22"/>
  <c r="O187" i="22"/>
  <c r="S176" i="22"/>
  <c r="O176" i="22"/>
  <c r="S178" i="22"/>
  <c r="O178" i="22"/>
  <c r="O182" i="22"/>
  <c r="S182" i="22"/>
  <c r="O174" i="22"/>
  <c r="S174" i="22"/>
  <c r="O186" i="22"/>
  <c r="S186" i="22"/>
  <c r="O171" i="22"/>
  <c r="S171" i="22"/>
  <c r="O173" i="22"/>
  <c r="S173" i="22"/>
  <c r="O169" i="22"/>
  <c r="S169" i="22"/>
  <c r="AG125" i="22"/>
  <c r="O156" i="22"/>
  <c r="S156" i="22"/>
  <c r="S180" i="22"/>
  <c r="O180" i="22"/>
  <c r="S157" i="22"/>
  <c r="O157" i="22"/>
  <c r="S161" i="22"/>
  <c r="O161" i="22"/>
  <c r="S160" i="22"/>
  <c r="O160" i="22"/>
  <c r="L71" i="19"/>
  <c r="M71" i="19" s="1"/>
  <c r="L70" i="19"/>
  <c r="M70" i="19" s="1"/>
  <c r="S185" i="22"/>
  <c r="O185" i="22"/>
  <c r="O163" i="22"/>
  <c r="S163" i="22"/>
  <c r="S170" i="22"/>
  <c r="O170" i="22"/>
  <c r="O167" i="22"/>
  <c r="S167" i="22"/>
  <c r="O175" i="22"/>
  <c r="S175" i="22"/>
  <c r="S177" i="22"/>
  <c r="O177" i="22"/>
  <c r="S188" i="22"/>
  <c r="O188" i="22"/>
  <c r="S159" i="22"/>
  <c r="O159" i="22"/>
  <c r="O184" i="22"/>
  <c r="S184" i="22"/>
  <c r="G72" i="19"/>
  <c r="AL125" i="22" l="1"/>
  <c r="AQ125" i="22"/>
  <c r="L72" i="19"/>
  <c r="M69" i="19"/>
  <c r="M72" i="19" s="1"/>
</calcChain>
</file>

<file path=xl/comments1.xml><?xml version="1.0" encoding="utf-8"?>
<comments xmlns="http://schemas.openxmlformats.org/spreadsheetml/2006/main">
  <authors>
    <author>Robson França</author>
  </authors>
  <commentList>
    <comment ref="J9" authorId="0" shapeId="0">
      <text>
        <r>
          <rPr>
            <b/>
            <sz val="9"/>
            <color indexed="81"/>
            <rFont val="Segoe UI"/>
            <family val="2"/>
          </rPr>
          <t>Robson França:</t>
        </r>
        <r>
          <rPr>
            <sz val="9"/>
            <color indexed="81"/>
            <rFont val="Segoe UI"/>
            <family val="2"/>
          </rPr>
          <t xml:space="preserve">
LIGAÇOES DEFINITIVAS. 10.12.2019</t>
        </r>
      </text>
    </comment>
  </commentList>
</comments>
</file>

<file path=xl/comments2.xml><?xml version="1.0" encoding="utf-8"?>
<comments xmlns="http://schemas.openxmlformats.org/spreadsheetml/2006/main">
  <authors>
    <author>douglas.faria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douglas.faria:</t>
        </r>
        <r>
          <rPr>
            <sz val="9"/>
            <color indexed="81"/>
            <rFont val="Tahoma"/>
            <family val="2"/>
          </rPr>
          <t xml:space="preserve">
reduzir</t>
        </r>
      </text>
    </comment>
  </commentList>
</comments>
</file>

<file path=xl/comments3.xml><?xml version="1.0" encoding="utf-8"?>
<comments xmlns="http://schemas.openxmlformats.org/spreadsheetml/2006/main">
  <authors>
    <author>Nei Ferreira</author>
  </authors>
  <commentList>
    <comment ref="X15" authorId="0" shapeId="0">
      <text>
        <r>
          <rPr>
            <b/>
            <sz val="8"/>
            <color indexed="81"/>
            <rFont val="Tahoma"/>
            <family val="2"/>
          </rPr>
          <t>Nei Ferreira:</t>
        </r>
        <r>
          <rPr>
            <sz val="8"/>
            <color indexed="81"/>
            <rFont val="Tahoma"/>
            <family val="2"/>
          </rPr>
          <t xml:space="preserve">
Diminuir 1 mês, todo mês</t>
        </r>
      </text>
    </comment>
  </commentList>
</comments>
</file>

<file path=xl/sharedStrings.xml><?xml version="1.0" encoding="utf-8"?>
<sst xmlns="http://schemas.openxmlformats.org/spreadsheetml/2006/main" count="1445" uniqueCount="582">
  <si>
    <t>Renda Familiar</t>
  </si>
  <si>
    <t>Subsídio</t>
  </si>
  <si>
    <t>3SM</t>
  </si>
  <si>
    <r>
      <t xml:space="preserve">Juros Nominal </t>
    </r>
    <r>
      <rPr>
        <sz val="8"/>
        <rFont val="Arial"/>
        <family val="2"/>
      </rPr>
      <t>(a.a.)</t>
    </r>
  </si>
  <si>
    <t>Comissão</t>
  </si>
  <si>
    <t>Valor Máximo do Imóvel</t>
  </si>
  <si>
    <t>Subsídio Máximo</t>
  </si>
  <si>
    <t>Comprometimento de Renda</t>
  </si>
  <si>
    <t>Escala de subsídio por SM</t>
  </si>
  <si>
    <t>PREMISSAS</t>
  </si>
  <si>
    <t>FGTS</t>
  </si>
  <si>
    <t>Subsídio Mínimo</t>
  </si>
  <si>
    <t>Escala de subsídio por R$</t>
  </si>
  <si>
    <t>Salário Mínimo</t>
  </si>
  <si>
    <t>Obra</t>
  </si>
  <si>
    <t>Desembolso</t>
  </si>
  <si>
    <t>Habite-se</t>
  </si>
  <si>
    <t>Período</t>
  </si>
  <si>
    <t>Repasse</t>
  </si>
  <si>
    <t>Obra / VGV</t>
  </si>
  <si>
    <t>Total</t>
  </si>
  <si>
    <t>Avaliação CAIXA</t>
  </si>
  <si>
    <t>Preço de Venda</t>
  </si>
  <si>
    <t>valor maximo financiado</t>
  </si>
  <si>
    <t>financiamento maximo pela renda</t>
  </si>
  <si>
    <t>240 meses</t>
  </si>
  <si>
    <t>300 meses</t>
  </si>
  <si>
    <t>FGTS Há mais de 3 anos?</t>
  </si>
  <si>
    <t>Valor máximo financiado sem comissão</t>
  </si>
  <si>
    <t>*</t>
  </si>
  <si>
    <t>Documento Interno para Equalização de Propostas</t>
  </si>
  <si>
    <t>Não tem Valor Comercial ou Jurídico</t>
  </si>
  <si>
    <t>Impressão</t>
  </si>
  <si>
    <t>Empreendimento</t>
  </si>
  <si>
    <t>Cargo</t>
  </si>
  <si>
    <t>Nome</t>
  </si>
  <si>
    <t>Anual</t>
  </si>
  <si>
    <t>Fixa</t>
  </si>
  <si>
    <t>HUMANARI / CYAN</t>
  </si>
  <si>
    <t>Proponente</t>
  </si>
  <si>
    <t>Corretor</t>
  </si>
  <si>
    <t>Chaves</t>
  </si>
  <si>
    <t>Corrigida</t>
  </si>
  <si>
    <t>HUMANARI / MAGENTA</t>
  </si>
  <si>
    <t>Unidade</t>
  </si>
  <si>
    <t>Gerente</t>
  </si>
  <si>
    <t>Mensal</t>
  </si>
  <si>
    <t>HUMANARI / RUBINE</t>
  </si>
  <si>
    <t>Semestral</t>
  </si>
  <si>
    <t>HUMANARI / VAGAS GARAGEM</t>
  </si>
  <si>
    <t>Data da Tabela</t>
  </si>
  <si>
    <t>Juros TP a.a.</t>
  </si>
  <si>
    <t>Data TP Tabela</t>
  </si>
  <si>
    <t>Sinal</t>
  </si>
  <si>
    <t>Data da proposta</t>
  </si>
  <si>
    <t>Juros Mercado a.a.</t>
  </si>
  <si>
    <t>Data TP Proposta</t>
  </si>
  <si>
    <t>Data das Chaves:</t>
  </si>
  <si>
    <t>Preço da unidade</t>
  </si>
  <si>
    <t>TABELA DE VENDAS</t>
  </si>
  <si>
    <t>Parc.</t>
  </si>
  <si>
    <t>Periodicidade</t>
  </si>
  <si>
    <t>Data</t>
  </si>
  <si>
    <t>Parcelas Sem TP</t>
  </si>
  <si>
    <t>Parcelas Com TP</t>
  </si>
  <si>
    <t>Valor Presente</t>
  </si>
  <si>
    <t>Inicial</t>
  </si>
  <si>
    <t>Parcelas</t>
  </si>
  <si>
    <t>OBS:</t>
  </si>
  <si>
    <t>TOTAL</t>
  </si>
  <si>
    <t>PROPOSTA DO PROPONENTE</t>
  </si>
  <si>
    <t>Param. Comissão</t>
  </si>
  <si>
    <t>%Abat. N.F.</t>
  </si>
  <si>
    <t>%Abat.</t>
  </si>
  <si>
    <t>Prêmio</t>
  </si>
  <si>
    <t>Valor</t>
  </si>
  <si>
    <t>%</t>
  </si>
  <si>
    <t>Valor do %</t>
  </si>
  <si>
    <t>Vistos</t>
  </si>
  <si>
    <t>Serasa</t>
  </si>
  <si>
    <t>Crédito</t>
  </si>
  <si>
    <t>Diretoria</t>
  </si>
  <si>
    <t>Data das Chaves</t>
  </si>
  <si>
    <t>Perc. Pagas até Chaves TB com TP</t>
  </si>
  <si>
    <t>Valor Total</t>
  </si>
  <si>
    <t>Preço Total</t>
  </si>
  <si>
    <t>Porcentagem</t>
  </si>
  <si>
    <t>Perc. Do Sinal sobre o Total (TB)</t>
  </si>
  <si>
    <t>Perc. do Sinal sobre o Total (Proposta)</t>
  </si>
  <si>
    <t>V.P. da Tabela</t>
  </si>
  <si>
    <t>V.P. da Proposta</t>
  </si>
  <si>
    <t>Diferença</t>
  </si>
  <si>
    <t>360 meses</t>
  </si>
  <si>
    <t>Empresa de vendas</t>
  </si>
  <si>
    <t>Reajuste INCCD2</t>
  </si>
  <si>
    <t>Valor Máximo financiado em 300 meses</t>
  </si>
  <si>
    <t>Select de Financiamento</t>
  </si>
  <si>
    <t>Resposta</t>
  </si>
  <si>
    <t>Correção da Resposta</t>
  </si>
  <si>
    <t>Avalição CAIXA - sub - fgts</t>
  </si>
  <si>
    <t>Corretor:</t>
  </si>
  <si>
    <t>Empreendimento:</t>
  </si>
  <si>
    <t>Parcela Máxima</t>
  </si>
  <si>
    <t>Parcela Máxima sem taxa</t>
  </si>
  <si>
    <t>Valores Financiáveis</t>
  </si>
  <si>
    <t>observação</t>
  </si>
  <si>
    <t xml:space="preserve"> Escala 2 de subsídio por SM</t>
  </si>
  <si>
    <t xml:space="preserve"> Escala 2 de subsídio por R$</t>
  </si>
  <si>
    <t>INCC (a.a.) Nominal</t>
  </si>
  <si>
    <t>Início da 2a escala de subsídio</t>
  </si>
  <si>
    <t>SP, Campinas, DF, RJ e RM</t>
  </si>
  <si>
    <t>Capitais e acima de 500mil</t>
  </si>
  <si>
    <t>Juros Cliente</t>
  </si>
  <si>
    <t>Valor Financiado</t>
  </si>
  <si>
    <t>Taxa de Juros</t>
  </si>
  <si>
    <t>Empreendimentos</t>
  </si>
  <si>
    <t>Empresa de Vendas</t>
  </si>
  <si>
    <t>FATTO SPORT FARIA LIMA</t>
  </si>
  <si>
    <t>SELLING</t>
  </si>
  <si>
    <t>FATTO JARDIM BOTANICO</t>
  </si>
  <si>
    <t>HABITCASA</t>
  </si>
  <si>
    <t>VITÓRIA PIRITUBA</t>
  </si>
  <si>
    <t>Prazo</t>
  </si>
  <si>
    <t>1 Prestação</t>
  </si>
  <si>
    <t>ÚLTIMA</t>
  </si>
  <si>
    <t>Prazo Máx. Financ.</t>
  </si>
  <si>
    <t>RENDA</t>
  </si>
  <si>
    <t>PRAZO</t>
  </si>
  <si>
    <t>+</t>
  </si>
  <si>
    <t>=</t>
  </si>
  <si>
    <t>DIA</t>
  </si>
  <si>
    <t>MÊS</t>
  </si>
  <si>
    <t>ANO</t>
  </si>
  <si>
    <t>IDADE EM MESES</t>
  </si>
  <si>
    <t>Quota de Financiamento maxima</t>
  </si>
  <si>
    <t>Subsísidio praticado</t>
  </si>
  <si>
    <t>Valor Maximo do Imóvel no pacote</t>
  </si>
  <si>
    <t>Tipo</t>
  </si>
  <si>
    <t>Código</t>
  </si>
  <si>
    <t>Código Tipo</t>
  </si>
  <si>
    <t>Código Preço de Venda</t>
  </si>
  <si>
    <t>Código Avaliação CAIXA</t>
  </si>
  <si>
    <t>Venda</t>
  </si>
  <si>
    <t>Código Empreendimento</t>
  </si>
  <si>
    <t>Taxa de Administração</t>
  </si>
  <si>
    <t>Salário Isento de Taxa</t>
  </si>
  <si>
    <t>Resposta do simulador</t>
  </si>
  <si>
    <t>Salário do Cliente</t>
  </si>
  <si>
    <t>Código dos dos empreendimentos</t>
  </si>
  <si>
    <t>Código Venda</t>
  </si>
  <si>
    <t>Código Avaliação</t>
  </si>
  <si>
    <t>Planilha de resposta do empreendimento escolhido</t>
  </si>
  <si>
    <t>Tabela de Unidades disponíveis</t>
  </si>
  <si>
    <t>Fluxo de Juros da CAIXA</t>
  </si>
  <si>
    <t>Qual o Valor Máximo do Imóvel no Pacote para esta região?</t>
  </si>
  <si>
    <t>Valor Máximo do imóvel no Pacote</t>
  </si>
  <si>
    <t>Valor Máximo do Pacote</t>
  </si>
  <si>
    <t>Valor Máximo Do Imóvel dentro do Pacote</t>
  </si>
  <si>
    <t>Taxa do Cliente</t>
  </si>
  <si>
    <t>Empresa de Venda:</t>
  </si>
  <si>
    <t>Valor do Imóvel na Tabela:</t>
  </si>
  <si>
    <t>1. INFORMAÇÕES DO CLIENTE</t>
  </si>
  <si>
    <t>a.a.</t>
  </si>
  <si>
    <t>a.m.</t>
  </si>
  <si>
    <t>1.2.  Data nascimento:</t>
  </si>
  <si>
    <t>Prazo Máximo a financiar</t>
  </si>
  <si>
    <t>Data:</t>
  </si>
  <si>
    <t>Código Curva Obra</t>
  </si>
  <si>
    <t>Código Desembolso</t>
  </si>
  <si>
    <t>Mês de Chaves</t>
  </si>
  <si>
    <t>Data Chaves</t>
  </si>
  <si>
    <t>Data Das Chaves</t>
  </si>
  <si>
    <t>1.8. Valor Máximo Financiado:</t>
  </si>
  <si>
    <t>Análise de Crédito</t>
  </si>
  <si>
    <t>Mês</t>
  </si>
  <si>
    <t>Encargos Incorporador</t>
  </si>
  <si>
    <t>Encargos 
CAIXA</t>
  </si>
  <si>
    <t>Período Atual</t>
  </si>
  <si>
    <t>Prazo Para o Término de Obra</t>
  </si>
  <si>
    <t>Parcela Média</t>
  </si>
  <si>
    <t>Resultado</t>
  </si>
  <si>
    <t>Prazo para o 
término da Obra</t>
  </si>
  <si>
    <t>Parcela 
Máxima</t>
  </si>
  <si>
    <t>ENTRADA MÍNIMA</t>
  </si>
  <si>
    <t>Valor do contrato de financiamento com a CAIXA</t>
  </si>
  <si>
    <t>Entrada</t>
  </si>
  <si>
    <t>Botões PV</t>
  </si>
  <si>
    <t>QTDE PARCELAS</t>
  </si>
  <si>
    <t>DATA INICIAL</t>
  </si>
  <si>
    <t>PARCELA</t>
  </si>
  <si>
    <t>VALOR PRESENTE</t>
  </si>
  <si>
    <t>TABELA DE VENDA</t>
  </si>
  <si>
    <t>FINANCIAMENTO</t>
  </si>
  <si>
    <t>INCONSISTÊNCIAS</t>
  </si>
  <si>
    <t>Parcela Média Com Juros CAIXA</t>
  </si>
  <si>
    <t>MÊS DE INÍCIO</t>
  </si>
  <si>
    <t>término da obra</t>
  </si>
  <si>
    <t>3. ANÁLISE DE CRÉDITO</t>
  </si>
  <si>
    <t>Primeira Parcela do Financiamento</t>
  </si>
  <si>
    <t>Última Parcela do
Financiamento</t>
  </si>
  <si>
    <t>Valor Máximo do FGTS</t>
  </si>
  <si>
    <t>Valor Máximo FGTS</t>
  </si>
  <si>
    <t>Prazo Obra</t>
  </si>
  <si>
    <t>PV</t>
  </si>
  <si>
    <t>RESPOSTAS</t>
  </si>
  <si>
    <t>Mês do Repasse Estimado</t>
  </si>
  <si>
    <t>Modelo Correto de análise de Crédito</t>
  </si>
  <si>
    <t>CLT</t>
  </si>
  <si>
    <t>1.4.  Valor do FGTS:</t>
  </si>
  <si>
    <t>Sim</t>
  </si>
  <si>
    <t>Não</t>
  </si>
  <si>
    <t>Serie 1</t>
  </si>
  <si>
    <t>Parcela 1</t>
  </si>
  <si>
    <t xml:space="preserve">Serie 2 </t>
  </si>
  <si>
    <t>Parcela 2</t>
  </si>
  <si>
    <t>Serie 3</t>
  </si>
  <si>
    <t>Parcela 3</t>
  </si>
  <si>
    <t>Serie 4</t>
  </si>
  <si>
    <t>Parcela 4</t>
  </si>
  <si>
    <t>Serie Entrada</t>
  </si>
  <si>
    <t>Parcela Entrada</t>
  </si>
  <si>
    <t>Parcela Chaves</t>
  </si>
  <si>
    <t>PV para Zerar</t>
  </si>
  <si>
    <t>Parcela para zerar PV</t>
  </si>
  <si>
    <t>Apoio</t>
  </si>
  <si>
    <t>2. PROPOSTA DO CLIENTE</t>
  </si>
  <si>
    <t xml:space="preserve">1.3. Renda Familiar Total: </t>
  </si>
  <si>
    <t>1.1  Nome do Cliente:</t>
  </si>
  <si>
    <t>Renda para 
Análise (90%)</t>
  </si>
  <si>
    <t>Prazo Pós Obra</t>
  </si>
  <si>
    <t>Limite máximo de financiamento (REPASSE)</t>
  </si>
  <si>
    <r>
      <t xml:space="preserve">Parcela Média Total </t>
    </r>
    <r>
      <rPr>
        <b/>
        <sz val="14"/>
        <color indexed="10"/>
        <rFont val="Arial"/>
        <family val="2"/>
      </rPr>
      <t>(CAIXA + Incorporador)</t>
    </r>
  </si>
  <si>
    <r>
      <t>Maior Parcela Mensal</t>
    </r>
    <r>
      <rPr>
        <b/>
        <sz val="14"/>
        <color indexed="10"/>
        <rFont val="Arial"/>
        <family val="2"/>
      </rPr>
      <t xml:space="preserve"> (CAIXA + Incorporador)</t>
    </r>
  </si>
  <si>
    <t>Última Parcela de  Encargos CAIXA</t>
  </si>
  <si>
    <t>Parcela Média de Encargos CAIXA</t>
  </si>
  <si>
    <t>somatório de parcelas CAIXA e Incorporador - (Entrada e Chaves)</t>
  </si>
  <si>
    <t>Primeira Parcela de
 Encargos CAIXA</t>
  </si>
  <si>
    <t>Data de Virada da Tabela</t>
  </si>
  <si>
    <t>3. FINANCIAMENTO CAIXA</t>
  </si>
  <si>
    <t>4. PREVISÃO DE ENCARGOS  - DURANTE A OBRA</t>
  </si>
  <si>
    <t>Chaves (valor máximo da poupança)</t>
  </si>
  <si>
    <t>Valor Máximo de Chaves</t>
  </si>
  <si>
    <t xml:space="preserve">TOTAL   </t>
  </si>
  <si>
    <t>Prazo Para Chaves</t>
  </si>
  <si>
    <t>Empreendimento 01</t>
  </si>
  <si>
    <t>Empreendimento 02</t>
  </si>
  <si>
    <t>Empreendimento 03</t>
  </si>
  <si>
    <t>Empreendimento 04</t>
  </si>
  <si>
    <t>Empreendimento 05</t>
  </si>
  <si>
    <t>Empreendimento 06</t>
  </si>
  <si>
    <t>Empreendimento 07</t>
  </si>
  <si>
    <t>Empreendimento 08</t>
  </si>
  <si>
    <t>Empreendimento 09</t>
  </si>
  <si>
    <t>Empreendimento 10</t>
  </si>
  <si>
    <t>Empreendimento 11</t>
  </si>
  <si>
    <t>Empreendimento 12</t>
  </si>
  <si>
    <t>Empreendimento 13</t>
  </si>
  <si>
    <t>Empreendimento 14</t>
  </si>
  <si>
    <t>Data de Mudança de Tabela</t>
  </si>
  <si>
    <t>Empresas de Vendas</t>
  </si>
  <si>
    <t xml:space="preserve">PROPOSTA CLIENTE </t>
  </si>
  <si>
    <t>Zerar PV</t>
  </si>
  <si>
    <t>select</t>
  </si>
  <si>
    <t>zerar PV</t>
  </si>
  <si>
    <t>R$</t>
  </si>
  <si>
    <t>Valor a ser repassado para CAIXA</t>
  </si>
  <si>
    <t>Idade</t>
  </si>
  <si>
    <t>Seguro Morte ou Invalidez</t>
  </si>
  <si>
    <t>Fundo Garantidor (emprego)</t>
  </si>
  <si>
    <t>Idade (meses)</t>
  </si>
  <si>
    <t>Idade Repasse (anos)</t>
  </si>
  <si>
    <t>Taxa (%)</t>
  </si>
  <si>
    <t>Taxa (R$)</t>
  </si>
  <si>
    <t xml:space="preserve">O Cálculo da Taxa leva em conta a idade do cliente no repasse e não na data da venda (incluindo margem de segurança de 2 meses). No Simulador da CAIXA não desconta a taxa do Fundo, pois é optativo, mas na prática todos optam. </t>
  </si>
  <si>
    <t>1.6. Subsídio:</t>
  </si>
  <si>
    <t>% FLUXO</t>
  </si>
  <si>
    <t>Única</t>
  </si>
  <si>
    <t>Zerar PV no Financiamento?</t>
  </si>
  <si>
    <t>não</t>
  </si>
  <si>
    <t>sim</t>
  </si>
  <si>
    <t>Gerente:</t>
  </si>
  <si>
    <t>Teste lógico - Parcela Máxima x Parcela tabela</t>
  </si>
  <si>
    <t>pro-soluto</t>
  </si>
  <si>
    <t>Mensal 1</t>
  </si>
  <si>
    <t>Mensal 2</t>
  </si>
  <si>
    <t>Ok</t>
  </si>
  <si>
    <t>Qualquer  fluxo ou valor diferente do proposto pela tabela de vendas só será válido com autorização da Sec. Vendas</t>
  </si>
  <si>
    <t xml:space="preserve">Desconto </t>
  </si>
  <si>
    <t>TABELA PRICE</t>
  </si>
  <si>
    <t>TABELA SAC</t>
  </si>
  <si>
    <t>mcmv3</t>
  </si>
  <si>
    <t>1.10.  Casa Paulista:</t>
  </si>
  <si>
    <t>ÚNICO SUZANO - TORRE 4 e 6</t>
  </si>
  <si>
    <t>ÚNICO SUZANO - TORRE 5</t>
  </si>
  <si>
    <t>Lançamento</t>
  </si>
  <si>
    <t>Simulador Para Testes</t>
  </si>
  <si>
    <t>Antes Repasse</t>
  </si>
  <si>
    <t>Pró Soluto</t>
  </si>
  <si>
    <t xml:space="preserve">1.7.  Taxa de Juros Nominal: </t>
  </si>
  <si>
    <t>1.8. Prazo de Financiamento Pós Obra:</t>
  </si>
  <si>
    <t>1.10. Valor Máximo de Repasse:</t>
  </si>
  <si>
    <t>1.11. Mensal Máxima:</t>
  </si>
  <si>
    <t>1.12.  Total:</t>
  </si>
  <si>
    <t>FGTS + SUBSÍDIO</t>
  </si>
  <si>
    <t>Bl 1 – Finais  03 e 04  2° ao 17° e Bl 2 - Finais 07 a 08 2° ao 17° - Sol da Manhã</t>
  </si>
  <si>
    <t>Bl 2 – Finais 03 e 04  2° ao 17° e Bl 1 - Finais 07 e 08  2° ao 17° - Sol da Tarde</t>
  </si>
  <si>
    <t>Bl 1 e 2 - 103, 104, 107–  PNE</t>
  </si>
  <si>
    <t>DEZ VISTA ALEGRE - BLOCOS 1 e 2</t>
  </si>
  <si>
    <t>I.NOVA</t>
  </si>
  <si>
    <t>SELLER</t>
  </si>
  <si>
    <t>Bl 2 – Final 06 –  Terreo ao 17° e Bl 1 - Finais 02 e 05 - Terreo ao 17° - Sol da Manhã</t>
  </si>
  <si>
    <t>Bl 2 – Finais 05 –  Terreo ao 17° e Bl 1 - Finais 01 e 06 - Terreo ao 17° - Sol da Tarde</t>
  </si>
  <si>
    <t>Bl 2 - Final 01 - Terreo ao 17° - Sol da Manhã</t>
  </si>
  <si>
    <t>Bl 2- Final 02 - Terreo ao 17° - Sol da Tarde</t>
  </si>
  <si>
    <t>Bloco/Unidade</t>
  </si>
  <si>
    <t>1/101</t>
  </si>
  <si>
    <t xml:space="preserve"> R$      225.000,00 </t>
  </si>
  <si>
    <t>1/102</t>
  </si>
  <si>
    <t>1/103</t>
  </si>
  <si>
    <t>1/104</t>
  </si>
  <si>
    <t>1/105</t>
  </si>
  <si>
    <t>1/106</t>
  </si>
  <si>
    <t>1/201</t>
  </si>
  <si>
    <t>1/202</t>
  </si>
  <si>
    <t>1/203</t>
  </si>
  <si>
    <t>1/204</t>
  </si>
  <si>
    <t>1/205</t>
  </si>
  <si>
    <t>1/206</t>
  </si>
  <si>
    <t>1/207</t>
  </si>
  <si>
    <t>1/208</t>
  </si>
  <si>
    <t>1/301</t>
  </si>
  <si>
    <t>1/302</t>
  </si>
  <si>
    <t>1/303</t>
  </si>
  <si>
    <t>1/304</t>
  </si>
  <si>
    <t>1/305</t>
  </si>
  <si>
    <t>1/306</t>
  </si>
  <si>
    <t>1/307</t>
  </si>
  <si>
    <t>1/308</t>
  </si>
  <si>
    <t>1/401</t>
  </si>
  <si>
    <t>1/402</t>
  </si>
  <si>
    <t>1/403</t>
  </si>
  <si>
    <t>1/404</t>
  </si>
  <si>
    <t>1/405</t>
  </si>
  <si>
    <t>1/406</t>
  </si>
  <si>
    <t>1/407</t>
  </si>
  <si>
    <t>1/408</t>
  </si>
  <si>
    <t>1/501</t>
  </si>
  <si>
    <t>1/502</t>
  </si>
  <si>
    <t>1/503</t>
  </si>
  <si>
    <t>1/504</t>
  </si>
  <si>
    <t>1/505</t>
  </si>
  <si>
    <t>1/506</t>
  </si>
  <si>
    <t>1/507</t>
  </si>
  <si>
    <t>1/508</t>
  </si>
  <si>
    <t>1/601</t>
  </si>
  <si>
    <t>1/602</t>
  </si>
  <si>
    <t>1/603</t>
  </si>
  <si>
    <t>1/604</t>
  </si>
  <si>
    <t>1/605</t>
  </si>
  <si>
    <t>1/606</t>
  </si>
  <si>
    <t>1/607</t>
  </si>
  <si>
    <t>1/608</t>
  </si>
  <si>
    <t>1/701</t>
  </si>
  <si>
    <t>1/702</t>
  </si>
  <si>
    <t>1/703</t>
  </si>
  <si>
    <t>1/704</t>
  </si>
  <si>
    <t>1/705</t>
  </si>
  <si>
    <t>1/706</t>
  </si>
  <si>
    <t>1/707</t>
  </si>
  <si>
    <t>1/708</t>
  </si>
  <si>
    <t>1/801</t>
  </si>
  <si>
    <t>1/802</t>
  </si>
  <si>
    <t>1/803</t>
  </si>
  <si>
    <t>1/804</t>
  </si>
  <si>
    <t>1/805</t>
  </si>
  <si>
    <t>1/806</t>
  </si>
  <si>
    <t>1/807</t>
  </si>
  <si>
    <t>1/808</t>
  </si>
  <si>
    <t>1/901</t>
  </si>
  <si>
    <t>1/902</t>
  </si>
  <si>
    <t>1/903</t>
  </si>
  <si>
    <t>1/904</t>
  </si>
  <si>
    <t>1/905</t>
  </si>
  <si>
    <t>1/906</t>
  </si>
  <si>
    <t>1/907</t>
  </si>
  <si>
    <t>1/908</t>
  </si>
  <si>
    <t>1/1001</t>
  </si>
  <si>
    <t>1/1002</t>
  </si>
  <si>
    <t>1/1003</t>
  </si>
  <si>
    <t>1/1004</t>
  </si>
  <si>
    <t>1/1005</t>
  </si>
  <si>
    <t>1/1006</t>
  </si>
  <si>
    <t>1/1007</t>
  </si>
  <si>
    <t>1/1008</t>
  </si>
  <si>
    <t>1/1101</t>
  </si>
  <si>
    <t>1/1102</t>
  </si>
  <si>
    <t>1/1103</t>
  </si>
  <si>
    <t>1/1104</t>
  </si>
  <si>
    <t>1/1105</t>
  </si>
  <si>
    <t>1/1106</t>
  </si>
  <si>
    <t>1/1107</t>
  </si>
  <si>
    <t>1/1108</t>
  </si>
  <si>
    <t>1/1201</t>
  </si>
  <si>
    <t xml:space="preserve"> R$      237.400,00 </t>
  </si>
  <si>
    <t>1/1202</t>
  </si>
  <si>
    <t xml:space="preserve"> R$      236.000,00 </t>
  </si>
  <si>
    <t>1/1203</t>
  </si>
  <si>
    <t>1/1204</t>
  </si>
  <si>
    <t>1/1205</t>
  </si>
  <si>
    <t>1/1206</t>
  </si>
  <si>
    <t>1/1207</t>
  </si>
  <si>
    <t>1/1208</t>
  </si>
  <si>
    <t>1/1301</t>
  </si>
  <si>
    <t>1/1302</t>
  </si>
  <si>
    <t>1/1303</t>
  </si>
  <si>
    <t>1/1304</t>
  </si>
  <si>
    <t>1/1305</t>
  </si>
  <si>
    <t>1/1306</t>
  </si>
  <si>
    <t>1/1307</t>
  </si>
  <si>
    <t>1/1308</t>
  </si>
  <si>
    <t>1/1401</t>
  </si>
  <si>
    <t>1/1402</t>
  </si>
  <si>
    <t>1/1403</t>
  </si>
  <si>
    <t>1/1404</t>
  </si>
  <si>
    <t>1/1405</t>
  </si>
  <si>
    <t>1/1406</t>
  </si>
  <si>
    <t>1/1407</t>
  </si>
  <si>
    <t>1/1408</t>
  </si>
  <si>
    <t>1/1501</t>
  </si>
  <si>
    <t>1/1502</t>
  </si>
  <si>
    <t xml:space="preserve"> R$      240.370,00 </t>
  </si>
  <si>
    <t>1/1503</t>
  </si>
  <si>
    <t>1/1504</t>
  </si>
  <si>
    <t>1/1505</t>
  </si>
  <si>
    <t>1/1506</t>
  </si>
  <si>
    <t>1/1507</t>
  </si>
  <si>
    <t>1/1508</t>
  </si>
  <si>
    <t>2/101</t>
  </si>
  <si>
    <t>2/102</t>
  </si>
  <si>
    <t>2/103</t>
  </si>
  <si>
    <t>2/104</t>
  </si>
  <si>
    <t>2/105</t>
  </si>
  <si>
    <t>2/201</t>
  </si>
  <si>
    <t>2/202</t>
  </si>
  <si>
    <t>2/203</t>
  </si>
  <si>
    <t>2/204</t>
  </si>
  <si>
    <t>2/205</t>
  </si>
  <si>
    <t>2/206</t>
  </si>
  <si>
    <t>2/207</t>
  </si>
  <si>
    <t>2/208</t>
  </si>
  <si>
    <t>2/301</t>
  </si>
  <si>
    <t>2/302</t>
  </si>
  <si>
    <t>2/303</t>
  </si>
  <si>
    <t>2/304</t>
  </si>
  <si>
    <t>2/305</t>
  </si>
  <si>
    <t>2/306</t>
  </si>
  <si>
    <t>2/307</t>
  </si>
  <si>
    <t>2/308</t>
  </si>
  <si>
    <t>2/401</t>
  </si>
  <si>
    <t>2/402</t>
  </si>
  <si>
    <t>2/403</t>
  </si>
  <si>
    <t>2/404</t>
  </si>
  <si>
    <t>2/405</t>
  </si>
  <si>
    <t>2/406</t>
  </si>
  <si>
    <t>2/407</t>
  </si>
  <si>
    <t>2/408</t>
  </si>
  <si>
    <t>2/501</t>
  </si>
  <si>
    <t>2/502</t>
  </si>
  <si>
    <t>2/503</t>
  </si>
  <si>
    <t>2/504</t>
  </si>
  <si>
    <t>2/505</t>
  </si>
  <si>
    <t>2/506</t>
  </si>
  <si>
    <t>2/507</t>
  </si>
  <si>
    <t>2/508</t>
  </si>
  <si>
    <t>2/601</t>
  </si>
  <si>
    <t>2/602</t>
  </si>
  <si>
    <t>2/603</t>
  </si>
  <si>
    <t>2/604</t>
  </si>
  <si>
    <t>2/605</t>
  </si>
  <si>
    <t>2/606</t>
  </si>
  <si>
    <t>2/607</t>
  </si>
  <si>
    <t>2/608</t>
  </si>
  <si>
    <t>2/701</t>
  </si>
  <si>
    <t>2/702</t>
  </si>
  <si>
    <t>2/703</t>
  </si>
  <si>
    <t>2/704</t>
  </si>
  <si>
    <t>2/705</t>
  </si>
  <si>
    <t>2/706</t>
  </si>
  <si>
    <t>2/707</t>
  </si>
  <si>
    <t>2/708</t>
  </si>
  <si>
    <t>2/801</t>
  </si>
  <si>
    <t>2/802</t>
  </si>
  <si>
    <t>2/803</t>
  </si>
  <si>
    <t>2/804</t>
  </si>
  <si>
    <t>2/805</t>
  </si>
  <si>
    <t>2/806</t>
  </si>
  <si>
    <t>2/807</t>
  </si>
  <si>
    <t>2/808</t>
  </si>
  <si>
    <t>2/901</t>
  </si>
  <si>
    <t>2/902</t>
  </si>
  <si>
    <t>2/903</t>
  </si>
  <si>
    <t>2/904</t>
  </si>
  <si>
    <t>2/905</t>
  </si>
  <si>
    <t>2/906</t>
  </si>
  <si>
    <t>2/907</t>
  </si>
  <si>
    <t>2/908</t>
  </si>
  <si>
    <t>2/1001</t>
  </si>
  <si>
    <t>2/1002</t>
  </si>
  <si>
    <t>2/1003</t>
  </si>
  <si>
    <t>2/1004</t>
  </si>
  <si>
    <t>2/1005</t>
  </si>
  <si>
    <t>2/1006</t>
  </si>
  <si>
    <t>2/1007</t>
  </si>
  <si>
    <t xml:space="preserve"> R$      225.000,00 </t>
  </si>
  <si>
    <t>2/1008</t>
  </si>
  <si>
    <t>2/1101</t>
  </si>
  <si>
    <t>2/1102</t>
  </si>
  <si>
    <t>2/1103</t>
  </si>
  <si>
    <t>2/1104</t>
  </si>
  <si>
    <t>2/1105</t>
  </si>
  <si>
    <t>2/1106</t>
  </si>
  <si>
    <t>2/1107</t>
  </si>
  <si>
    <t>2/1108</t>
  </si>
  <si>
    <t>2/1201</t>
  </si>
  <si>
    <t>2/1202</t>
  </si>
  <si>
    <t>2/1203</t>
  </si>
  <si>
    <t>2/1204</t>
  </si>
  <si>
    <t>2/1205</t>
  </si>
  <si>
    <t>2/1206</t>
  </si>
  <si>
    <t>2/1207</t>
  </si>
  <si>
    <t>2/1208</t>
  </si>
  <si>
    <t>2/1301</t>
  </si>
  <si>
    <t>2/1302</t>
  </si>
  <si>
    <t>2/1303</t>
  </si>
  <si>
    <t>2/1304</t>
  </si>
  <si>
    <t>2/1305</t>
  </si>
  <si>
    <t>2/1306</t>
  </si>
  <si>
    <t>2/1307</t>
  </si>
  <si>
    <t>2/1308</t>
  </si>
  <si>
    <t>2/1401</t>
  </si>
  <si>
    <t>2/1402</t>
  </si>
  <si>
    <t>2/1403</t>
  </si>
  <si>
    <t>2/1404</t>
  </si>
  <si>
    <t>2/1405</t>
  </si>
  <si>
    <t>2/1406</t>
  </si>
  <si>
    <t>2/1407</t>
  </si>
  <si>
    <t>2/1408</t>
  </si>
  <si>
    <t>2/1501</t>
  </si>
  <si>
    <t>2/1502</t>
  </si>
  <si>
    <t>2/1503</t>
  </si>
  <si>
    <t>2/1504</t>
  </si>
  <si>
    <t>2/1505</t>
  </si>
  <si>
    <t>2/1506</t>
  </si>
  <si>
    <t>2/1507</t>
  </si>
  <si>
    <t>2/1508</t>
  </si>
  <si>
    <t>Rocha</t>
  </si>
  <si>
    <t>PREENCHER</t>
  </si>
  <si>
    <t>NÃO PREENCHER</t>
  </si>
  <si>
    <t>LEGENDA</t>
  </si>
  <si>
    <t>UNIDADE</t>
  </si>
  <si>
    <t>PREÇO</t>
  </si>
  <si>
    <t>DE VENDA</t>
  </si>
  <si>
    <t>CHAVE</t>
  </si>
  <si>
    <t>BLOCO</t>
  </si>
  <si>
    <t>1.5.1 Qtd Compradores ?</t>
  </si>
  <si>
    <t>1.11. Cliente PMCMV/CCFGTS?</t>
  </si>
  <si>
    <t>Faixa</t>
  </si>
  <si>
    <t>Faixa 70%</t>
  </si>
  <si>
    <t>1.5.3 Carteira assinada (Meses)</t>
  </si>
  <si>
    <t>1.5.2 Comprova dependentes?</t>
  </si>
  <si>
    <t>Lista anuais</t>
  </si>
  <si>
    <t>lançamento</t>
  </si>
  <si>
    <t>entrada</t>
  </si>
  <si>
    <t>mensal</t>
  </si>
  <si>
    <t>início obra</t>
  </si>
  <si>
    <t>AGI</t>
  </si>
  <si>
    <t>1.9. Já possui imóvel próprio?</t>
  </si>
  <si>
    <t>30 Dias</t>
  </si>
  <si>
    <t>CORREÇÃO</t>
  </si>
  <si>
    <t>VALOR 05.2017</t>
  </si>
  <si>
    <t>Preço Novo</t>
  </si>
  <si>
    <t>Preço Antigo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</si>
</sst>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7" formatCode="&quot;R$ &quot;#,##0.00_);\(&quot;R$ &quot;#,##0.00\)"/>
    <numFmt numFmtId="43" formatCode="_(* #,##0.00_);_(* \(#,##0.00\);_(* &quot;-&quot;??_);_(@_)"/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_-* #,##0_-;\-* #,##0_-;_-* &quot;-&quot;??_-;_-@_-"/>
    <numFmt numFmtId="167" formatCode="0.0000%"/>
    <numFmt numFmtId="168" formatCode="0.000000%"/>
    <numFmt numFmtId="169" formatCode="_([$€-2]* #,##0.00_);_([$€-2]* \(#,##0.00\);_([$€-2]* &quot;-&quot;??_)"/>
    <numFmt numFmtId="170" formatCode="&quot;R$&quot;\ #,##0.00;[Red]&quot;R$&quot;\ \-#,##0.00"/>
    <numFmt numFmtId="171" formatCode="_ * #,##0.00_ ;_ * \-#,##0.00_ ;_ * &quot;-&quot;??_ ;_ @_ "/>
    <numFmt numFmtId="172" formatCode="000000"/>
    <numFmt numFmtId="173" formatCode="_ * #,##0.00000_ ;_ * \-#,##0.00000_ ;_ * &quot;-&quot;?????_ ;_ @_ "/>
    <numFmt numFmtId="174" formatCode="mmm/yyyy"/>
    <numFmt numFmtId="175" formatCode="_-&quot;R$&quot;\ * #,##0_-;\-&quot;R$&quot;\ * #,##0_-;_-&quot;R$&quot;\ * &quot;-&quot;??_-;_-@_-"/>
    <numFmt numFmtId="176" formatCode="&quot;R$ &quot;#,##0.00"/>
    <numFmt numFmtId="177" formatCode="dd/mmm/yyyy"/>
    <numFmt numFmtId="178" formatCode="##&quot; meses&quot;"/>
    <numFmt numFmtId="179" formatCode="0.000%"/>
    <numFmt numFmtId="180" formatCode="0.0%"/>
    <numFmt numFmtId="181" formatCode="0.00000%"/>
    <numFmt numFmtId="182" formatCode="0.000000000%"/>
    <numFmt numFmtId="183" formatCode="0.0000000000%"/>
  </numFmts>
  <fonts count="9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Verdana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53"/>
      <name val="Arial"/>
      <family val="2"/>
    </font>
    <font>
      <sz val="16"/>
      <color indexed="10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8"/>
      <color indexed="9"/>
      <name val="Arial"/>
      <family val="2"/>
    </font>
    <font>
      <sz val="14"/>
      <color indexed="22"/>
      <name val="Arial"/>
      <family val="2"/>
    </font>
    <font>
      <sz val="10"/>
      <color indexed="51"/>
      <name val="Arial"/>
      <family val="2"/>
    </font>
    <font>
      <sz val="23"/>
      <name val="Arial"/>
      <family val="2"/>
    </font>
    <font>
      <b/>
      <sz val="12"/>
      <color indexed="9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5"/>
      <name val="Arial"/>
      <family val="2"/>
    </font>
    <font>
      <b/>
      <sz val="22"/>
      <color indexed="9"/>
      <name val="Arial"/>
      <family val="2"/>
    </font>
    <font>
      <b/>
      <sz val="16"/>
      <color indexed="10"/>
      <name val="Arial"/>
      <family val="2"/>
    </font>
    <font>
      <b/>
      <sz val="10"/>
      <color indexed="9"/>
      <name val="Arial"/>
      <family val="2"/>
    </font>
    <font>
      <b/>
      <sz val="15"/>
      <color indexed="10"/>
      <name val="Arial"/>
      <family val="2"/>
    </font>
    <font>
      <b/>
      <sz val="15"/>
      <name val="Arial"/>
      <family val="2"/>
    </font>
    <font>
      <b/>
      <sz val="12"/>
      <color indexed="2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5"/>
      <color indexed="16"/>
      <name val="Arial"/>
      <family val="2"/>
    </font>
    <font>
      <b/>
      <sz val="16"/>
      <color indexed="60"/>
      <name val="Arial"/>
      <family val="2"/>
    </font>
    <font>
      <b/>
      <sz val="10"/>
      <color indexed="60"/>
      <name val="Arial"/>
      <family val="2"/>
    </font>
    <font>
      <b/>
      <sz val="12"/>
      <color indexed="60"/>
      <name val="Arial"/>
      <family val="2"/>
    </font>
    <font>
      <sz val="10"/>
      <color indexed="60"/>
      <name val="Arial"/>
      <family val="2"/>
    </font>
    <font>
      <b/>
      <sz val="16"/>
      <color indexed="2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indexed="9"/>
      <name val="Arial"/>
      <family val="2"/>
    </font>
    <font>
      <b/>
      <sz val="12"/>
      <color indexed="43"/>
      <name val="Arial"/>
      <family val="2"/>
    </font>
    <font>
      <b/>
      <u/>
      <sz val="16"/>
      <name val="Arial"/>
      <family val="2"/>
    </font>
    <font>
      <b/>
      <sz val="16"/>
      <color indexed="43"/>
      <name val="Arial"/>
      <family val="2"/>
    </font>
    <font>
      <sz val="11"/>
      <color theme="1"/>
      <name val="Calibri"/>
      <family val="2"/>
      <scheme val="minor"/>
    </font>
    <font>
      <b/>
      <sz val="16"/>
      <color theme="9" tint="-0.49998474074526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5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6"/>
      <color theme="0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0"/>
      <color rgb="FF00B0F0"/>
      <name val="Arial"/>
      <family val="2"/>
    </font>
    <font>
      <b/>
      <sz val="18"/>
      <color theme="0"/>
      <name val="Arial"/>
      <family val="2"/>
    </font>
    <font>
      <b/>
      <sz val="36"/>
      <color rgb="FFFF0000"/>
      <name val="Arial"/>
      <family val="2"/>
    </font>
    <font>
      <sz val="20"/>
      <color theme="0"/>
      <name val="Arial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27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39997558519241921"/>
        <bgColor indexed="27"/>
      </patternFill>
    </fill>
    <fill>
      <patternFill patternType="solid">
        <fgColor rgb="FF00B0F0"/>
        <bgColor indexed="64"/>
      </patternFill>
    </fill>
  </fills>
  <borders count="1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medium">
        <color indexed="16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/>
      <bottom style="thin">
        <color rgb="FF80808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2">
    <xf numFmtId="0" fontId="0" fillId="0" borderId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0" fillId="0" borderId="2" applyNumberFormat="0" applyFill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Protection="1"/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0" fontId="1" fillId="0" borderId="3" xfId="4" applyNumberFormat="1" applyBorder="1" applyAlignment="1">
      <alignment horizontal="center"/>
    </xf>
    <xf numFmtId="0" fontId="0" fillId="0" borderId="3" xfId="0" applyBorder="1" applyProtection="1"/>
    <xf numFmtId="0" fontId="0" fillId="0" borderId="0" xfId="0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9" fontId="0" fillId="3" borderId="3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3" xfId="0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66" fontId="1" fillId="0" borderId="0" xfId="10" applyNumberFormat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165" fontId="1" fillId="0" borderId="3" xfId="10" applyNumberFormat="1" applyBorder="1" applyAlignment="1">
      <alignment horizontal="center" vertical="center"/>
    </xf>
    <xf numFmtId="165" fontId="1" fillId="0" borderId="3" xfId="10" applyNumberFormat="1" applyBorder="1" applyAlignment="1">
      <alignment horizontal="center" vertical="center" wrapText="1"/>
    </xf>
    <xf numFmtId="165" fontId="1" fillId="0" borderId="3" xfId="10" applyNumberFormat="1" applyBorder="1" applyAlignment="1">
      <alignment vertical="center" wrapText="1"/>
    </xf>
    <xf numFmtId="14" fontId="0" fillId="0" borderId="3" xfId="0" applyNumberFormat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right" vertical="center"/>
    </xf>
    <xf numFmtId="165" fontId="1" fillId="0" borderId="12" xfId="10" applyNumberFormat="1" applyBorder="1" applyAlignment="1">
      <alignment horizontal="center" vertical="center"/>
    </xf>
    <xf numFmtId="0" fontId="0" fillId="2" borderId="11" xfId="0" applyFill="1" applyBorder="1" applyAlignment="1">
      <alignment horizontal="right" vertical="center" wrapText="1"/>
    </xf>
    <xf numFmtId="165" fontId="1" fillId="0" borderId="12" xfId="10" applyNumberFormat="1" applyBorder="1" applyAlignment="1">
      <alignment horizontal="center" vertical="center" wrapText="1"/>
    </xf>
    <xf numFmtId="165" fontId="1" fillId="0" borderId="12" xfId="10" applyNumberFormat="1" applyBorder="1" applyAlignment="1">
      <alignment vertical="center" wrapText="1"/>
    </xf>
    <xf numFmtId="0" fontId="0" fillId="0" borderId="8" xfId="0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4" fontId="0" fillId="0" borderId="14" xfId="0" applyNumberFormat="1" applyBorder="1" applyAlignment="1">
      <alignment vertical="center"/>
    </xf>
    <xf numFmtId="10" fontId="1" fillId="0" borderId="14" xfId="4" applyNumberFormat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6" fontId="4" fillId="2" borderId="3" xfId="1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10" fontId="0" fillId="2" borderId="4" xfId="0" applyNumberForma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center" vertical="center"/>
    </xf>
    <xf numFmtId="43" fontId="0" fillId="2" borderId="4" xfId="0" applyNumberFormat="1" applyFill="1" applyBorder="1" applyAlignment="1">
      <alignment vertical="center"/>
    </xf>
    <xf numFmtId="10" fontId="1" fillId="2" borderId="3" xfId="4" applyNumberFormat="1" applyFill="1" applyBorder="1" applyAlignment="1">
      <alignment horizontal="center" vertical="center"/>
    </xf>
    <xf numFmtId="9" fontId="1" fillId="2" borderId="3" xfId="4" applyNumberFormat="1" applyFill="1" applyBorder="1" applyAlignment="1">
      <alignment horizontal="center" vertical="center"/>
    </xf>
    <xf numFmtId="166" fontId="1" fillId="2" borderId="3" xfId="10" applyNumberFormat="1" applyFill="1" applyBorder="1" applyAlignment="1">
      <alignment vertical="center"/>
    </xf>
    <xf numFmtId="0" fontId="0" fillId="0" borderId="0" xfId="0" applyFill="1" applyBorder="1" applyAlignment="1" applyProtection="1"/>
    <xf numFmtId="0" fontId="29" fillId="2" borderId="0" xfId="0" applyFont="1" applyFill="1" applyAlignment="1" applyProtection="1">
      <alignment vertical="center"/>
    </xf>
    <xf numFmtId="0" fontId="0" fillId="0" borderId="0" xfId="0" applyBorder="1" applyAlignment="1">
      <alignment horizontal="left" vertical="center"/>
    </xf>
    <xf numFmtId="165" fontId="0" fillId="0" borderId="0" xfId="10" applyFont="1" applyBorder="1" applyAlignment="1">
      <alignment horizontal="left" vertical="center"/>
    </xf>
    <xf numFmtId="14" fontId="0" fillId="2" borderId="3" xfId="0" applyNumberForma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 wrapText="1"/>
    </xf>
    <xf numFmtId="0" fontId="0" fillId="2" borderId="3" xfId="10" applyNumberFormat="1" applyFont="1" applyFill="1" applyBorder="1" applyAlignment="1">
      <alignment horizontal="center" vertical="center"/>
    </xf>
    <xf numFmtId="165" fontId="0" fillId="0" borderId="19" xfId="10" applyNumberFormat="1" applyFont="1" applyFill="1" applyBorder="1" applyAlignment="1" applyProtection="1">
      <alignment vertical="center"/>
    </xf>
    <xf numFmtId="10" fontId="0" fillId="0" borderId="20" xfId="4" applyNumberFormat="1" applyFont="1" applyFill="1" applyBorder="1" applyAlignment="1" applyProtection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166" fontId="0" fillId="4" borderId="3" xfId="10" applyNumberFormat="1" applyFont="1" applyFill="1" applyBorder="1" applyAlignment="1">
      <alignment horizontal="left" vertical="center"/>
    </xf>
    <xf numFmtId="14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/>
    </xf>
    <xf numFmtId="166" fontId="0" fillId="4" borderId="3" xfId="10" applyNumberFormat="1" applyFont="1" applyFill="1" applyBorder="1" applyAlignment="1">
      <alignment horizontal="left" vertical="center" wrapText="1"/>
    </xf>
    <xf numFmtId="165" fontId="0" fillId="4" borderId="3" xfId="10" applyFont="1" applyFill="1" applyBorder="1" applyAlignment="1">
      <alignment horizontal="left" vertical="center"/>
    </xf>
    <xf numFmtId="0" fontId="0" fillId="2" borderId="0" xfId="0" applyFill="1" applyAlignment="1" applyProtection="1">
      <alignment vertical="center"/>
    </xf>
    <xf numFmtId="0" fontId="16" fillId="2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vertical="center"/>
    </xf>
    <xf numFmtId="0" fontId="30" fillId="3" borderId="0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vertical="center"/>
    </xf>
    <xf numFmtId="0" fontId="0" fillId="3" borderId="0" xfId="0" applyFill="1" applyAlignment="1" applyProtection="1">
      <alignment horizontal="right" vertical="center"/>
    </xf>
    <xf numFmtId="0" fontId="27" fillId="3" borderId="0" xfId="0" applyFont="1" applyFill="1" applyAlignment="1" applyProtection="1">
      <alignment horizontal="right" vertical="center"/>
    </xf>
    <xf numFmtId="0" fontId="27" fillId="3" borderId="0" xfId="0" applyFont="1" applyFill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horizontal="right" vertical="center"/>
    </xf>
    <xf numFmtId="166" fontId="4" fillId="2" borderId="3" xfId="10" applyNumberFormat="1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34" fillId="2" borderId="0" xfId="0" applyFont="1" applyFill="1" applyAlignment="1" applyProtection="1">
      <alignment horizontal="left" vertical="center"/>
    </xf>
    <xf numFmtId="0" fontId="0" fillId="2" borderId="3" xfId="0" applyFill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center" vertical="center"/>
    </xf>
    <xf numFmtId="165" fontId="0" fillId="2" borderId="3" xfId="10" applyNumberFormat="1" applyFont="1" applyFill="1" applyBorder="1" applyAlignment="1" applyProtection="1">
      <alignment horizontal="center" vertical="center"/>
    </xf>
    <xf numFmtId="165" fontId="0" fillId="2" borderId="0" xfId="10" applyFont="1" applyFill="1" applyBorder="1" applyAlignment="1" applyProtection="1">
      <alignment vertical="center"/>
    </xf>
    <xf numFmtId="0" fontId="34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horizontal="right" vertical="center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0" fontId="29" fillId="2" borderId="0" xfId="0" applyFont="1" applyFill="1" applyAlignment="1" applyProtection="1">
      <alignment horizontal="center" vertical="center"/>
    </xf>
    <xf numFmtId="164" fontId="0" fillId="2" borderId="0" xfId="0" applyNumberFormat="1" applyFill="1" applyAlignment="1" applyProtection="1">
      <alignment vertical="center"/>
    </xf>
    <xf numFmtId="164" fontId="24" fillId="2" borderId="0" xfId="2" applyFont="1" applyFill="1" applyAlignment="1" applyProtection="1">
      <alignment vertical="center"/>
    </xf>
    <xf numFmtId="164" fontId="16" fillId="2" borderId="0" xfId="2" applyFont="1" applyFill="1" applyAlignment="1" applyProtection="1">
      <alignment vertical="center"/>
    </xf>
    <xf numFmtId="2" fontId="16" fillId="2" borderId="0" xfId="0" applyNumberFormat="1" applyFont="1" applyFill="1" applyAlignment="1" applyProtection="1">
      <alignment vertical="center"/>
    </xf>
    <xf numFmtId="0" fontId="25" fillId="2" borderId="0" xfId="0" applyFont="1" applyFill="1" applyAlignment="1" applyProtection="1">
      <alignment vertical="center" wrapText="1"/>
    </xf>
    <xf numFmtId="0" fontId="21" fillId="2" borderId="0" xfId="0" applyFont="1" applyFill="1" applyAlignment="1" applyProtection="1">
      <alignment vertical="center"/>
    </xf>
    <xf numFmtId="165" fontId="0" fillId="2" borderId="0" xfId="0" applyNumberFormat="1" applyFill="1" applyAlignment="1" applyProtection="1">
      <alignment vertical="center"/>
    </xf>
    <xf numFmtId="0" fontId="0" fillId="2" borderId="21" xfId="0" applyFill="1" applyBorder="1" applyAlignment="1" applyProtection="1">
      <alignment vertical="center"/>
    </xf>
    <xf numFmtId="0" fontId="0" fillId="2" borderId="22" xfId="0" applyFill="1" applyBorder="1" applyAlignment="1" applyProtection="1">
      <alignment vertical="center"/>
    </xf>
    <xf numFmtId="165" fontId="37" fillId="2" borderId="0" xfId="10" applyFont="1" applyFill="1" applyBorder="1" applyAlignment="1" applyProtection="1">
      <alignment horizontal="center" vertical="center" wrapText="1"/>
    </xf>
    <xf numFmtId="0" fontId="0" fillId="2" borderId="23" xfId="0" applyFill="1" applyBorder="1" applyAlignment="1" applyProtection="1">
      <alignment vertical="center"/>
    </xf>
    <xf numFmtId="165" fontId="37" fillId="2" borderId="0" xfId="10" applyFont="1" applyFill="1" applyBorder="1" applyAlignment="1" applyProtection="1">
      <alignment horizontal="center" vertical="center"/>
    </xf>
    <xf numFmtId="17" fontId="11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165" fontId="11" fillId="2" borderId="0" xfId="10" applyFont="1" applyFill="1" applyBorder="1" applyAlignment="1" applyProtection="1">
      <alignment horizontal="center" vertical="center"/>
    </xf>
    <xf numFmtId="165" fontId="11" fillId="2" borderId="24" xfId="10" applyFont="1" applyFill="1" applyBorder="1" applyAlignment="1" applyProtection="1">
      <alignment horizontal="center" vertical="center"/>
    </xf>
    <xf numFmtId="165" fontId="11" fillId="2" borderId="23" xfId="10" applyFont="1" applyFill="1" applyBorder="1" applyAlignment="1" applyProtection="1">
      <alignment horizontal="center" vertical="center"/>
    </xf>
    <xf numFmtId="165" fontId="36" fillId="2" borderId="0" xfId="1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vertical="center"/>
    </xf>
    <xf numFmtId="0" fontId="34" fillId="2" borderId="0" xfId="0" applyFont="1" applyFill="1" applyBorder="1" applyAlignment="1" applyProtection="1">
      <alignment vertical="center" wrapText="1"/>
    </xf>
    <xf numFmtId="0" fontId="34" fillId="2" borderId="24" xfId="0" applyFont="1" applyFill="1" applyBorder="1" applyAlignment="1" applyProtection="1">
      <alignment vertical="center" wrapText="1"/>
    </xf>
    <xf numFmtId="0" fontId="34" fillId="2" borderId="23" xfId="0" applyFont="1" applyFill="1" applyBorder="1" applyAlignment="1" applyProtection="1">
      <alignment vertical="center" wrapText="1"/>
    </xf>
    <xf numFmtId="0" fontId="0" fillId="2" borderId="25" xfId="0" applyFill="1" applyBorder="1" applyAlignment="1" applyProtection="1">
      <alignment vertical="center"/>
    </xf>
    <xf numFmtId="0" fontId="0" fillId="2" borderId="26" xfId="0" applyFill="1" applyBorder="1" applyAlignment="1" applyProtection="1">
      <alignment vertical="center"/>
    </xf>
    <xf numFmtId="0" fontId="43" fillId="2" borderId="0" xfId="0" applyFont="1" applyFill="1" applyAlignment="1" applyProtection="1">
      <alignment vertical="center"/>
    </xf>
    <xf numFmtId="0" fontId="0" fillId="2" borderId="27" xfId="0" applyFill="1" applyBorder="1" applyAlignment="1" applyProtection="1">
      <alignment vertical="center"/>
    </xf>
    <xf numFmtId="0" fontId="0" fillId="2" borderId="24" xfId="0" applyFill="1" applyBorder="1" applyAlignment="1" applyProtection="1">
      <alignment vertical="center"/>
    </xf>
    <xf numFmtId="0" fontId="37" fillId="2" borderId="24" xfId="0" applyFont="1" applyFill="1" applyBorder="1" applyAlignment="1" applyProtection="1">
      <alignment horizontal="center" vertical="center" wrapText="1"/>
    </xf>
    <xf numFmtId="0" fontId="36" fillId="2" borderId="24" xfId="0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wrapText="1"/>
    </xf>
    <xf numFmtId="165" fontId="19" fillId="2" borderId="0" xfId="10" applyNumberFormat="1" applyFont="1" applyFill="1" applyAlignment="1" applyProtection="1">
      <alignment vertical="center"/>
    </xf>
    <xf numFmtId="0" fontId="23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41" fillId="2" borderId="0" xfId="0" applyFont="1" applyFill="1" applyAlignment="1" applyProtection="1">
      <alignment horizontal="left" vertical="center"/>
    </xf>
    <xf numFmtId="0" fontId="19" fillId="2" borderId="0" xfId="0" applyFont="1" applyFill="1" applyAlignment="1" applyProtection="1">
      <alignment vertical="center"/>
    </xf>
    <xf numFmtId="0" fontId="4" fillId="5" borderId="27" xfId="0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10" fontId="0" fillId="2" borderId="4" xfId="0" applyNumberFormat="1" applyFill="1" applyBorder="1" applyAlignment="1" applyProtection="1">
      <alignment horizontal="right" vertical="center"/>
    </xf>
    <xf numFmtId="0" fontId="4" fillId="2" borderId="16" xfId="0" applyFont="1" applyFill="1" applyBorder="1" applyAlignment="1" applyProtection="1">
      <alignment horizontal="center" vertical="center"/>
    </xf>
    <xf numFmtId="0" fontId="36" fillId="2" borderId="24" xfId="0" applyFont="1" applyFill="1" applyBorder="1" applyAlignment="1" applyProtection="1">
      <alignment horizontal="center" vertical="center"/>
    </xf>
    <xf numFmtId="43" fontId="0" fillId="2" borderId="4" xfId="0" applyNumberFormat="1" applyFill="1" applyBorder="1" applyAlignment="1" applyProtection="1">
      <alignment vertical="center"/>
    </xf>
    <xf numFmtId="0" fontId="4" fillId="2" borderId="28" xfId="0" applyFont="1" applyFill="1" applyBorder="1" applyAlignment="1" applyProtection="1">
      <alignment horizontal="center" vertical="center"/>
    </xf>
    <xf numFmtId="0" fontId="34" fillId="2" borderId="24" xfId="0" applyFont="1" applyFill="1" applyBorder="1" applyAlignment="1" applyProtection="1">
      <alignment vertical="center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2" fillId="2" borderId="0" xfId="0" applyFont="1" applyFill="1" applyAlignment="1" applyProtection="1">
      <alignment vertical="center"/>
    </xf>
    <xf numFmtId="10" fontId="1" fillId="2" borderId="3" xfId="4" applyNumberFormat="1" applyFill="1" applyBorder="1" applyAlignment="1" applyProtection="1">
      <alignment horizontal="center" vertical="center"/>
    </xf>
    <xf numFmtId="9" fontId="1" fillId="2" borderId="3" xfId="4" applyNumberFormat="1" applyFill="1" applyBorder="1" applyAlignment="1" applyProtection="1">
      <alignment horizontal="center" vertical="center"/>
    </xf>
    <xf numFmtId="166" fontId="1" fillId="2" borderId="3" xfId="10" applyNumberForma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40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0" fontId="38" fillId="2" borderId="25" xfId="0" applyFont="1" applyFill="1" applyBorder="1" applyAlignment="1" applyProtection="1">
      <alignment vertical="center"/>
    </xf>
    <xf numFmtId="0" fontId="32" fillId="2" borderId="0" xfId="0" applyFont="1" applyFill="1" applyAlignment="1" applyProtection="1">
      <alignment vertical="center"/>
    </xf>
    <xf numFmtId="0" fontId="36" fillId="2" borderId="0" xfId="0" applyFont="1" applyFill="1" applyAlignment="1" applyProtection="1">
      <alignment vertical="center" wrapText="1"/>
    </xf>
    <xf numFmtId="0" fontId="13" fillId="2" borderId="0" xfId="0" applyFont="1" applyFill="1" applyAlignment="1" applyProtection="1">
      <alignment vertical="center"/>
    </xf>
    <xf numFmtId="0" fontId="32" fillId="2" borderId="0" xfId="0" applyFont="1" applyFill="1" applyAlignment="1" applyProtection="1">
      <alignment vertical="center" wrapText="1"/>
    </xf>
    <xf numFmtId="164" fontId="27" fillId="2" borderId="0" xfId="2" applyFont="1" applyFill="1" applyAlignment="1" applyProtection="1">
      <alignment vertical="center"/>
    </xf>
    <xf numFmtId="0" fontId="27" fillId="2" borderId="0" xfId="0" applyFont="1" applyFill="1" applyAlignment="1" applyProtection="1">
      <alignment vertical="center"/>
    </xf>
    <xf numFmtId="164" fontId="27" fillId="2" borderId="0" xfId="2" applyNumberFormat="1" applyFont="1" applyFill="1" applyAlignment="1" applyProtection="1">
      <alignment vertical="center"/>
    </xf>
    <xf numFmtId="164" fontId="27" fillId="2" borderId="0" xfId="0" applyNumberFormat="1" applyFont="1" applyFill="1" applyAlignment="1" applyProtection="1">
      <alignment vertical="center"/>
    </xf>
    <xf numFmtId="164" fontId="28" fillId="2" borderId="0" xfId="2" applyFont="1" applyFill="1" applyAlignment="1" applyProtection="1">
      <alignment horizontal="center" vertical="center"/>
    </xf>
    <xf numFmtId="175" fontId="28" fillId="2" borderId="0" xfId="2" applyNumberFormat="1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 wrapText="1"/>
    </xf>
    <xf numFmtId="7" fontId="37" fillId="2" borderId="0" xfId="0" applyNumberFormat="1" applyFont="1" applyFill="1" applyAlignment="1" applyProtection="1">
      <alignment horizontal="center" vertical="center"/>
    </xf>
    <xf numFmtId="178" fontId="37" fillId="2" borderId="0" xfId="0" applyNumberFormat="1" applyFont="1" applyFill="1" applyAlignment="1" applyProtection="1">
      <alignment horizontal="center" vertical="center"/>
    </xf>
    <xf numFmtId="0" fontId="37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 wrapText="1"/>
    </xf>
    <xf numFmtId="175" fontId="0" fillId="2" borderId="0" xfId="0" applyNumberFormat="1" applyFill="1" applyAlignment="1" applyProtection="1">
      <alignment vertical="center"/>
    </xf>
    <xf numFmtId="0" fontId="0" fillId="6" borderId="3" xfId="0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166" fontId="0" fillId="0" borderId="0" xfId="10" applyNumberFormat="1" applyFont="1" applyAlignment="1" applyProtection="1">
      <alignment vertical="center" wrapText="1"/>
    </xf>
    <xf numFmtId="10" fontId="0" fillId="0" borderId="0" xfId="4" applyNumberFormat="1" applyFont="1" applyAlignment="1" applyProtection="1">
      <alignment vertical="center" wrapText="1"/>
    </xf>
    <xf numFmtId="166" fontId="4" fillId="0" borderId="29" xfId="10" applyNumberFormat="1" applyFont="1" applyBorder="1" applyAlignment="1" applyProtection="1">
      <alignment horizontal="center" vertical="center" wrapText="1"/>
    </xf>
    <xf numFmtId="166" fontId="0" fillId="0" borderId="3" xfId="10" applyNumberFormat="1" applyFont="1" applyBorder="1" applyAlignment="1" applyProtection="1">
      <alignment horizontal="center" vertical="center" wrapText="1"/>
    </xf>
    <xf numFmtId="10" fontId="0" fillId="0" borderId="3" xfId="4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166" fontId="0" fillId="5" borderId="20" xfId="10" applyNumberFormat="1" applyFont="1" applyFill="1" applyBorder="1" applyAlignment="1" applyProtection="1">
      <alignment horizontal="center" vertical="center" wrapText="1"/>
    </xf>
    <xf numFmtId="165" fontId="5" fillId="0" borderId="3" xfId="10" applyFont="1" applyBorder="1" applyAlignment="1" applyProtection="1">
      <alignment vertical="center" wrapText="1"/>
    </xf>
    <xf numFmtId="166" fontId="5" fillId="0" borderId="3" xfId="10" applyNumberFormat="1" applyFont="1" applyBorder="1" applyAlignment="1" applyProtection="1">
      <alignment vertical="center" wrapText="1"/>
    </xf>
    <xf numFmtId="166" fontId="1" fillId="5" borderId="3" xfId="10" applyNumberFormat="1" applyFill="1" applyBorder="1" applyAlignment="1" applyProtection="1">
      <alignment vertical="center" wrapText="1"/>
    </xf>
    <xf numFmtId="166" fontId="1" fillId="0" borderId="20" xfId="10" applyNumberFormat="1" applyFill="1" applyBorder="1" applyAlignment="1" applyProtection="1">
      <alignment vertical="center" wrapText="1"/>
    </xf>
    <xf numFmtId="165" fontId="2" fillId="7" borderId="30" xfId="10" applyFont="1" applyFill="1" applyBorder="1" applyAlignment="1" applyProtection="1">
      <alignment horizontal="center" vertical="center"/>
    </xf>
    <xf numFmtId="165" fontId="2" fillId="7" borderId="31" xfId="10" applyFont="1" applyFill="1" applyBorder="1" applyAlignment="1" applyProtection="1">
      <alignment horizontal="center" vertical="center"/>
    </xf>
    <xf numFmtId="165" fontId="2" fillId="7" borderId="32" xfId="10" applyFont="1" applyFill="1" applyBorder="1" applyAlignment="1" applyProtection="1">
      <alignment horizontal="center" vertical="center"/>
    </xf>
    <xf numFmtId="165" fontId="2" fillId="7" borderId="6" xfId="10" applyFont="1" applyFill="1" applyBorder="1" applyAlignment="1" applyProtection="1">
      <alignment horizontal="center" vertical="center"/>
    </xf>
    <xf numFmtId="165" fontId="2" fillId="7" borderId="33" xfId="10" applyFont="1" applyFill="1" applyBorder="1" applyAlignment="1" applyProtection="1">
      <alignment horizontal="center" vertical="center"/>
    </xf>
    <xf numFmtId="0" fontId="15" fillId="8" borderId="15" xfId="0" applyFont="1" applyFill="1" applyBorder="1" applyAlignment="1" applyProtection="1">
      <alignment horizontal="center" vertical="center"/>
    </xf>
    <xf numFmtId="9" fontId="4" fillId="0" borderId="0" xfId="4" applyFont="1" applyAlignment="1" applyProtection="1">
      <alignment vertical="center" wrapText="1"/>
    </xf>
    <xf numFmtId="166" fontId="9" fillId="0" borderId="3" xfId="10" applyNumberFormat="1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165" fontId="0" fillId="0" borderId="11" xfId="10" applyFont="1" applyBorder="1" applyAlignment="1" applyProtection="1">
      <alignment vertical="center"/>
    </xf>
    <xf numFmtId="165" fontId="0" fillId="0" borderId="3" xfId="10" applyFont="1" applyBorder="1" applyAlignment="1" applyProtection="1">
      <alignment vertical="center"/>
    </xf>
    <xf numFmtId="165" fontId="0" fillId="0" borderId="12" xfId="10" applyFont="1" applyBorder="1" applyAlignment="1" applyProtection="1">
      <alignment horizontal="center" vertical="center"/>
    </xf>
    <xf numFmtId="165" fontId="0" fillId="0" borderId="33" xfId="10" applyFont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34" xfId="0" applyFill="1" applyBorder="1" applyAlignment="1" applyProtection="1">
      <alignment vertical="center"/>
    </xf>
    <xf numFmtId="0" fontId="0" fillId="0" borderId="3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5" borderId="36" xfId="0" applyFill="1" applyBorder="1" applyAlignment="1" applyProtection="1">
      <alignment vertical="center"/>
    </xf>
    <xf numFmtId="166" fontId="0" fillId="0" borderId="3" xfId="10" applyNumberFormat="1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166" fontId="1" fillId="0" borderId="3" xfId="10" applyNumberFormat="1" applyBorder="1" applyAlignment="1" applyProtection="1">
      <alignment vertical="center" wrapText="1"/>
    </xf>
    <xf numFmtId="0" fontId="0" fillId="0" borderId="17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 wrapText="1"/>
    </xf>
    <xf numFmtId="165" fontId="0" fillId="0" borderId="3" xfId="10" applyFont="1" applyBorder="1" applyAlignment="1" applyProtection="1">
      <alignment vertical="center" wrapText="1"/>
    </xf>
    <xf numFmtId="165" fontId="0" fillId="0" borderId="12" xfId="10" applyFont="1" applyBorder="1" applyAlignment="1" applyProtection="1">
      <alignment vertical="center"/>
    </xf>
    <xf numFmtId="165" fontId="0" fillId="0" borderId="33" xfId="10" applyFont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" xfId="0" applyBorder="1" applyAlignment="1" applyProtection="1">
      <alignment vertical="center" wrapText="1"/>
    </xf>
    <xf numFmtId="0" fontId="0" fillId="0" borderId="3" xfId="0" applyBorder="1" applyAlignment="1" applyProtection="1">
      <alignment horizontal="right" vertical="center" wrapText="1"/>
    </xf>
    <xf numFmtId="165" fontId="2" fillId="7" borderId="11" xfId="10" applyFont="1" applyFill="1" applyBorder="1" applyAlignment="1" applyProtection="1">
      <alignment horizontal="center" vertical="center"/>
    </xf>
    <xf numFmtId="165" fontId="2" fillId="7" borderId="3" xfId="10" applyFont="1" applyFill="1" applyBorder="1" applyAlignment="1" applyProtection="1">
      <alignment horizontal="center" vertical="center"/>
    </xf>
    <xf numFmtId="165" fontId="2" fillId="7" borderId="12" xfId="10" applyFont="1" applyFill="1" applyBorder="1" applyAlignment="1" applyProtection="1">
      <alignment horizontal="center" vertical="center"/>
    </xf>
    <xf numFmtId="0" fontId="0" fillId="0" borderId="36" xfId="0" applyBorder="1" applyAlignment="1" applyProtection="1">
      <alignment vertical="center"/>
    </xf>
    <xf numFmtId="9" fontId="0" fillId="3" borderId="11" xfId="0" applyNumberFormat="1" applyFill="1" applyBorder="1" applyAlignment="1" applyProtection="1">
      <alignment horizontal="center" vertical="center"/>
    </xf>
    <xf numFmtId="9" fontId="0" fillId="3" borderId="3" xfId="0" applyNumberFormat="1" applyFill="1" applyBorder="1" applyAlignment="1" applyProtection="1">
      <alignment horizontal="center" vertical="center"/>
    </xf>
    <xf numFmtId="9" fontId="0" fillId="3" borderId="33" xfId="0" applyNumberFormat="1" applyFill="1" applyBorder="1" applyAlignment="1" applyProtection="1">
      <alignment vertical="center"/>
    </xf>
    <xf numFmtId="166" fontId="0" fillId="0" borderId="3" xfId="10" applyNumberFormat="1" applyFont="1" applyBorder="1" applyAlignment="1" applyProtection="1">
      <alignment horizontal="right" vertical="center" wrapText="1"/>
    </xf>
    <xf numFmtId="166" fontId="0" fillId="5" borderId="20" xfId="10" applyNumberFormat="1" applyFont="1" applyFill="1" applyBorder="1" applyAlignment="1" applyProtection="1">
      <alignment vertical="center" wrapText="1"/>
    </xf>
    <xf numFmtId="165" fontId="0" fillId="0" borderId="33" xfId="10" applyFont="1" applyBorder="1" applyAlignment="1" applyProtection="1">
      <alignment vertical="center" wrapText="1"/>
    </xf>
    <xf numFmtId="10" fontId="5" fillId="0" borderId="3" xfId="0" applyNumberFormat="1" applyFont="1" applyBorder="1" applyAlignment="1" applyProtection="1">
      <alignment vertical="center" wrapText="1"/>
    </xf>
    <xf numFmtId="166" fontId="0" fillId="0" borderId="20" xfId="1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166" fontId="0" fillId="0" borderId="0" xfId="10" applyNumberFormat="1" applyFont="1" applyFill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 wrapText="1"/>
    </xf>
    <xf numFmtId="165" fontId="2" fillId="0" borderId="3" xfId="10" applyFont="1" applyFill="1" applyBorder="1" applyAlignment="1" applyProtection="1">
      <alignment vertical="center"/>
    </xf>
    <xf numFmtId="165" fontId="0" fillId="0" borderId="3" xfId="10" applyFont="1" applyFill="1" applyBorder="1" applyAlignment="1" applyProtection="1">
      <alignment vertical="center"/>
    </xf>
    <xf numFmtId="166" fontId="4" fillId="0" borderId="39" xfId="10" applyNumberFormat="1" applyFont="1" applyBorder="1" applyAlignment="1" applyProtection="1">
      <alignment vertical="center" wrapText="1"/>
    </xf>
    <xf numFmtId="0" fontId="16" fillId="2" borderId="3" xfId="0" applyFont="1" applyFill="1" applyBorder="1" applyAlignment="1" applyProtection="1">
      <alignment vertical="center"/>
    </xf>
    <xf numFmtId="9" fontId="0" fillId="0" borderId="3" xfId="0" applyNumberFormat="1" applyFill="1" applyBorder="1" applyAlignment="1" applyProtection="1">
      <alignment vertical="center"/>
    </xf>
    <xf numFmtId="0" fontId="22" fillId="9" borderId="4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" fontId="22" fillId="9" borderId="4" xfId="10" applyNumberFormat="1" applyFont="1" applyFill="1" applyBorder="1" applyAlignment="1" applyProtection="1">
      <alignment vertical="center"/>
    </xf>
    <xf numFmtId="1" fontId="22" fillId="0" borderId="0" xfId="10" applyNumberFormat="1" applyFont="1" applyFill="1" applyBorder="1" applyAlignment="1" applyProtection="1">
      <alignment vertical="center"/>
    </xf>
    <xf numFmtId="165" fontId="2" fillId="7" borderId="3" xfId="10" applyFont="1" applyFill="1" applyBorder="1" applyAlignment="1" applyProtection="1">
      <alignment vertical="center"/>
    </xf>
    <xf numFmtId="166" fontId="0" fillId="10" borderId="3" xfId="10" applyNumberFormat="1" applyFont="1" applyFill="1" applyBorder="1" applyAlignment="1" applyProtection="1">
      <alignment vertical="center"/>
    </xf>
    <xf numFmtId="166" fontId="0" fillId="10" borderId="20" xfId="10" applyNumberFormat="1" applyFont="1" applyFill="1" applyBorder="1" applyAlignment="1" applyProtection="1">
      <alignment vertical="center"/>
    </xf>
    <xf numFmtId="165" fontId="0" fillId="0" borderId="3" xfId="0" applyNumberFormat="1" applyBorder="1" applyAlignment="1" applyProtection="1">
      <alignment vertical="center"/>
    </xf>
    <xf numFmtId="43" fontId="0" fillId="0" borderId="3" xfId="0" applyNumberFormat="1" applyBorder="1" applyAlignment="1" applyProtection="1">
      <alignment vertical="center"/>
    </xf>
    <xf numFmtId="0" fontId="0" fillId="9" borderId="4" xfId="0" applyFill="1" applyBorder="1" applyAlignment="1" applyProtection="1">
      <alignment vertical="center"/>
    </xf>
    <xf numFmtId="165" fontId="2" fillId="7" borderId="20" xfId="10" applyFont="1" applyFill="1" applyBorder="1" applyAlignment="1" applyProtection="1">
      <alignment horizontal="center" vertical="center"/>
    </xf>
    <xf numFmtId="43" fontId="4" fillId="0" borderId="3" xfId="0" applyNumberFormat="1" applyFont="1" applyBorder="1" applyAlignment="1" applyProtection="1">
      <alignment vertical="center" wrapText="1"/>
    </xf>
    <xf numFmtId="165" fontId="5" fillId="0" borderId="3" xfId="0" applyNumberFormat="1" applyFont="1" applyBorder="1" applyAlignment="1" applyProtection="1">
      <alignment vertical="center" wrapText="1"/>
    </xf>
    <xf numFmtId="166" fontId="0" fillId="0" borderId="20" xfId="10" applyNumberFormat="1" applyFont="1" applyBorder="1" applyAlignment="1" applyProtection="1">
      <alignment vertical="center" wrapText="1"/>
    </xf>
    <xf numFmtId="166" fontId="0" fillId="0" borderId="39" xfId="10" applyNumberFormat="1" applyFont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166" fontId="4" fillId="0" borderId="0" xfId="10" applyNumberFormat="1" applyFont="1" applyAlignment="1" applyProtection="1">
      <alignment vertical="center" wrapText="1"/>
    </xf>
    <xf numFmtId="166" fontId="4" fillId="0" borderId="20" xfId="10" applyNumberFormat="1" applyFont="1" applyBorder="1" applyAlignment="1" applyProtection="1">
      <alignment vertical="center" wrapText="1"/>
    </xf>
    <xf numFmtId="166" fontId="4" fillId="5" borderId="20" xfId="10" applyNumberFormat="1" applyFont="1" applyFill="1" applyBorder="1" applyAlignment="1" applyProtection="1">
      <alignment vertical="center" wrapText="1"/>
    </xf>
    <xf numFmtId="0" fontId="4" fillId="5" borderId="3" xfId="0" applyFont="1" applyFill="1" applyBorder="1" applyAlignment="1" applyProtection="1">
      <alignment vertical="center" wrapText="1"/>
    </xf>
    <xf numFmtId="166" fontId="0" fillId="5" borderId="3" xfId="10" applyNumberFormat="1" applyFont="1" applyFill="1" applyBorder="1" applyAlignment="1" applyProtection="1">
      <alignment vertical="center" wrapText="1"/>
    </xf>
    <xf numFmtId="166" fontId="4" fillId="0" borderId="0" xfId="0" applyNumberFormat="1" applyFont="1" applyAlignment="1" applyProtection="1">
      <alignment vertical="center" wrapText="1"/>
    </xf>
    <xf numFmtId="166" fontId="0" fillId="0" borderId="40" xfId="10" applyNumberFormat="1" applyFont="1" applyBorder="1" applyAlignment="1" applyProtection="1">
      <alignment vertical="center" wrapText="1"/>
    </xf>
    <xf numFmtId="0" fontId="19" fillId="3" borderId="41" xfId="0" applyFont="1" applyFill="1" applyBorder="1" applyAlignment="1" applyProtection="1">
      <alignment vertical="center"/>
    </xf>
    <xf numFmtId="0" fontId="25" fillId="11" borderId="42" xfId="0" applyFont="1" applyFill="1" applyBorder="1" applyAlignment="1" applyProtection="1">
      <alignment horizontal="center" vertical="center"/>
    </xf>
    <xf numFmtId="165" fontId="19" fillId="2" borderId="42" xfId="10" applyNumberFormat="1" applyFont="1" applyFill="1" applyBorder="1" applyAlignment="1" applyProtection="1">
      <alignment vertical="center"/>
    </xf>
    <xf numFmtId="0" fontId="46" fillId="2" borderId="0" xfId="0" applyFont="1" applyFill="1" applyAlignment="1" applyProtection="1">
      <alignment vertical="center"/>
    </xf>
    <xf numFmtId="14" fontId="0" fillId="2" borderId="3" xfId="0" applyNumberFormat="1" applyFill="1" applyBorder="1" applyAlignment="1" applyProtection="1">
      <alignment vertical="center"/>
    </xf>
    <xf numFmtId="9" fontId="0" fillId="0" borderId="3" xfId="0" applyNumberFormat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/>
    </xf>
    <xf numFmtId="0" fontId="28" fillId="12" borderId="43" xfId="0" applyFont="1" applyFill="1" applyBorder="1" applyAlignment="1" applyProtection="1">
      <alignment horizontal="center" vertical="center"/>
      <protection locked="0"/>
    </xf>
    <xf numFmtId="0" fontId="28" fillId="12" borderId="44" xfId="0" applyFont="1" applyFill="1" applyBorder="1" applyAlignment="1" applyProtection="1">
      <alignment horizontal="center" vertical="center"/>
      <protection locked="0"/>
    </xf>
    <xf numFmtId="0" fontId="28" fillId="12" borderId="45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</xf>
    <xf numFmtId="0" fontId="16" fillId="4" borderId="0" xfId="0" applyFont="1" applyFill="1" applyAlignment="1" applyProtection="1">
      <alignment horizontal="left" vertical="center"/>
    </xf>
    <xf numFmtId="0" fontId="48" fillId="2" borderId="0" xfId="0" applyFont="1" applyFill="1" applyAlignment="1" applyProtection="1">
      <alignment vertical="center"/>
    </xf>
    <xf numFmtId="0" fontId="48" fillId="2" borderId="0" xfId="0" applyFont="1" applyFill="1" applyBorder="1" applyAlignment="1" applyProtection="1">
      <alignment horizontal="center" vertical="center"/>
    </xf>
    <xf numFmtId="0" fontId="47" fillId="2" borderId="0" xfId="0" applyFont="1" applyFill="1" applyAlignment="1" applyProtection="1">
      <alignment vertical="center"/>
    </xf>
    <xf numFmtId="0" fontId="47" fillId="2" borderId="0" xfId="0" applyFont="1" applyFill="1" applyAlignment="1" applyProtection="1">
      <alignment horizontal="left" vertical="center"/>
    </xf>
    <xf numFmtId="0" fontId="50" fillId="2" borderId="0" xfId="0" applyFont="1" applyFill="1" applyAlignment="1" applyProtection="1">
      <alignment vertical="center"/>
    </xf>
    <xf numFmtId="166" fontId="0" fillId="0" borderId="0" xfId="0" applyNumberFormat="1" applyFill="1" applyAlignment="1" applyProtection="1">
      <alignment vertical="center" wrapText="1"/>
    </xf>
    <xf numFmtId="165" fontId="5" fillId="0" borderId="0" xfId="10" applyFont="1" applyAlignment="1" applyProtection="1">
      <alignment vertical="center" wrapText="1"/>
    </xf>
    <xf numFmtId="0" fontId="0" fillId="13" borderId="5" xfId="0" applyFill="1" applyBorder="1" applyAlignment="1">
      <alignment vertical="center"/>
    </xf>
    <xf numFmtId="0" fontId="0" fillId="13" borderId="3" xfId="0" applyFill="1" applyBorder="1" applyAlignment="1">
      <alignment horizontal="right" vertical="center"/>
    </xf>
    <xf numFmtId="14" fontId="0" fillId="13" borderId="3" xfId="0" applyNumberFormat="1" applyFill="1" applyBorder="1" applyAlignment="1">
      <alignment horizontal="center" vertical="center"/>
    </xf>
    <xf numFmtId="165" fontId="1" fillId="13" borderId="3" xfId="10" applyNumberFormat="1" applyFill="1" applyBorder="1" applyAlignment="1">
      <alignment horizontal="center" vertical="center"/>
    </xf>
    <xf numFmtId="165" fontId="1" fillId="13" borderId="3" xfId="10" applyNumberFormat="1" applyFill="1" applyBorder="1" applyAlignment="1">
      <alignment horizontal="center" vertical="center" wrapText="1"/>
    </xf>
    <xf numFmtId="165" fontId="1" fillId="13" borderId="3" xfId="10" applyNumberFormat="1" applyFill="1" applyBorder="1" applyAlignment="1">
      <alignment vertical="center" wrapText="1"/>
    </xf>
    <xf numFmtId="0" fontId="0" fillId="13" borderId="3" xfId="0" applyFill="1" applyBorder="1" applyAlignment="1">
      <alignment vertical="center"/>
    </xf>
    <xf numFmtId="0" fontId="0" fillId="13" borderId="7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 vertical="center"/>
    </xf>
    <xf numFmtId="9" fontId="0" fillId="3" borderId="0" xfId="0" applyNumberForma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0" fillId="4" borderId="4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6" xfId="0" applyFill="1" applyBorder="1" applyAlignment="1">
      <alignment vertical="center"/>
    </xf>
    <xf numFmtId="0" fontId="0" fillId="2" borderId="13" xfId="0" applyFill="1" applyBorder="1" applyAlignment="1">
      <alignment horizontal="right" vertical="center"/>
    </xf>
    <xf numFmtId="165" fontId="1" fillId="13" borderId="14" xfId="10" applyNumberForma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13" borderId="3" xfId="0" applyFill="1" applyBorder="1" applyAlignment="1">
      <alignment horizontal="left" vertical="center"/>
    </xf>
    <xf numFmtId="0" fontId="0" fillId="13" borderId="3" xfId="0" applyFill="1" applyBorder="1" applyAlignment="1">
      <alignment horizontal="left" vertical="center" wrapText="1"/>
    </xf>
    <xf numFmtId="0" fontId="0" fillId="13" borderId="14" xfId="0" applyFill="1" applyBorder="1" applyAlignment="1">
      <alignment horizontal="left" vertical="center"/>
    </xf>
    <xf numFmtId="0" fontId="1" fillId="13" borderId="12" xfId="10" applyNumberFormat="1" applyFill="1" applyBorder="1" applyAlignment="1">
      <alignment horizontal="center" vertical="center"/>
    </xf>
    <xf numFmtId="0" fontId="1" fillId="13" borderId="12" xfId="10" applyNumberForma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/>
    </xf>
    <xf numFmtId="0" fontId="1" fillId="13" borderId="36" xfId="10" applyNumberFormat="1" applyFill="1" applyBorder="1" applyAlignment="1">
      <alignment horizontal="center" vertical="center"/>
    </xf>
    <xf numFmtId="0" fontId="4" fillId="13" borderId="3" xfId="0" applyFont="1" applyFill="1" applyBorder="1" applyAlignment="1" applyProtection="1">
      <alignment vertical="center" wrapText="1"/>
    </xf>
    <xf numFmtId="0" fontId="0" fillId="13" borderId="3" xfId="0" applyFill="1" applyBorder="1" applyAlignment="1" applyProtection="1">
      <alignment vertical="center" wrapText="1"/>
    </xf>
    <xf numFmtId="0" fontId="42" fillId="0" borderId="0" xfId="0" applyFont="1" applyAlignment="1" applyProtection="1">
      <alignment vertical="center" wrapText="1"/>
    </xf>
    <xf numFmtId="0" fontId="47" fillId="2" borderId="0" xfId="0" applyFont="1" applyFill="1" applyAlignment="1" applyProtection="1">
      <alignment horizontal="right" vertical="center"/>
    </xf>
    <xf numFmtId="165" fontId="19" fillId="2" borderId="0" xfId="10" applyFont="1" applyFill="1" applyAlignment="1" applyProtection="1">
      <alignment vertical="center" wrapText="1"/>
    </xf>
    <xf numFmtId="0" fontId="31" fillId="3" borderId="48" xfId="0" applyFont="1" applyFill="1" applyBorder="1" applyAlignment="1" applyProtection="1">
      <alignment vertical="center"/>
    </xf>
    <xf numFmtId="39" fontId="44" fillId="2" borderId="25" xfId="0" applyNumberFormat="1" applyFont="1" applyFill="1" applyBorder="1" applyAlignment="1" applyProtection="1">
      <alignment vertical="center"/>
    </xf>
    <xf numFmtId="164" fontId="26" fillId="0" borderId="0" xfId="2" applyFont="1" applyFill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3" xfId="0" applyNumberFormat="1" applyFont="1" applyFill="1" applyBorder="1" applyAlignment="1" applyProtection="1">
      <alignment vertical="center" wrapText="1"/>
    </xf>
    <xf numFmtId="2" fontId="0" fillId="0" borderId="3" xfId="0" applyNumberFormat="1" applyBorder="1" applyAlignment="1" applyProtection="1">
      <alignment vertical="center" wrapText="1"/>
    </xf>
    <xf numFmtId="165" fontId="0" fillId="0" borderId="3" xfId="0" applyNumberFormat="1" applyBorder="1" applyAlignment="1" applyProtection="1">
      <alignment vertical="center" wrapText="1"/>
    </xf>
    <xf numFmtId="179" fontId="0" fillId="0" borderId="3" xfId="4" applyNumberFormat="1" applyFont="1" applyBorder="1" applyAlignment="1" applyProtection="1">
      <alignment vertical="center" wrapText="1"/>
    </xf>
    <xf numFmtId="0" fontId="15" fillId="8" borderId="0" xfId="0" applyFont="1" applyFill="1" applyAlignment="1" applyProtection="1">
      <alignment vertical="center"/>
    </xf>
    <xf numFmtId="14" fontId="15" fillId="8" borderId="0" xfId="0" applyNumberFormat="1" applyFont="1" applyFill="1" applyAlignment="1" applyProtection="1">
      <alignment vertical="center"/>
    </xf>
    <xf numFmtId="2" fontId="15" fillId="8" borderId="0" xfId="0" applyNumberFormat="1" applyFont="1" applyFill="1" applyAlignment="1" applyProtection="1">
      <alignment vertical="center"/>
    </xf>
    <xf numFmtId="0" fontId="53" fillId="14" borderId="6" xfId="0" applyFont="1" applyFill="1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0" xfId="0" applyAlignment="1">
      <alignment horizontal="center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 wrapText="1"/>
    </xf>
    <xf numFmtId="10" fontId="0" fillId="0" borderId="0" xfId="0" applyNumberFormat="1"/>
    <xf numFmtId="0" fontId="55" fillId="14" borderId="6" xfId="0" applyFont="1" applyFill="1" applyBorder="1" applyAlignment="1">
      <alignment vertical="center"/>
    </xf>
    <xf numFmtId="0" fontId="56" fillId="0" borderId="0" xfId="0" applyFont="1" applyFill="1" applyBorder="1" applyAlignment="1" applyProtection="1">
      <alignment horizontal="left" vertical="center"/>
    </xf>
    <xf numFmtId="0" fontId="55" fillId="0" borderId="0" xfId="0" applyFont="1" applyFill="1" applyBorder="1" applyAlignment="1" applyProtection="1">
      <alignment vertical="center"/>
    </xf>
    <xf numFmtId="180" fontId="0" fillId="0" borderId="3" xfId="0" applyNumberFormat="1" applyBorder="1"/>
    <xf numFmtId="0" fontId="0" fillId="0" borderId="23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65" fontId="61" fillId="19" borderId="3" xfId="10" applyNumberFormat="1" applyFont="1" applyFill="1" applyBorder="1" applyAlignment="1">
      <alignment horizontal="center" vertical="center" wrapText="1"/>
    </xf>
    <xf numFmtId="165" fontId="61" fillId="19" borderId="3" xfId="10" applyNumberFormat="1" applyFont="1" applyFill="1" applyBorder="1" applyAlignment="1">
      <alignment vertical="center" wrapText="1"/>
    </xf>
    <xf numFmtId="0" fontId="61" fillId="19" borderId="12" xfId="10" applyNumberFormat="1" applyFont="1" applyFill="1" applyBorder="1" applyAlignment="1">
      <alignment horizontal="center" vertical="center"/>
    </xf>
    <xf numFmtId="0" fontId="61" fillId="19" borderId="12" xfId="10" applyNumberFormat="1" applyFont="1" applyFill="1" applyBorder="1" applyAlignment="1">
      <alignment horizontal="center" vertical="center" wrapText="1"/>
    </xf>
    <xf numFmtId="0" fontId="0" fillId="19" borderId="3" xfId="0" applyFill="1" applyBorder="1" applyAlignment="1">
      <alignment horizontal="right" vertical="center"/>
    </xf>
    <xf numFmtId="14" fontId="0" fillId="19" borderId="3" xfId="0" applyNumberFormat="1" applyFill="1" applyBorder="1" applyAlignment="1">
      <alignment horizontal="center" vertical="center"/>
    </xf>
    <xf numFmtId="180" fontId="4" fillId="19" borderId="3" xfId="0" applyNumberFormat="1" applyFont="1" applyFill="1" applyBorder="1" applyAlignment="1" applyProtection="1">
      <alignment vertical="center" wrapText="1"/>
    </xf>
    <xf numFmtId="167" fontId="0" fillId="0" borderId="3" xfId="0" applyNumberFormat="1" applyBorder="1"/>
    <xf numFmtId="0" fontId="15" fillId="14" borderId="5" xfId="0" applyFont="1" applyFill="1" applyBorder="1" applyAlignment="1">
      <alignment vertical="center"/>
    </xf>
    <xf numFmtId="165" fontId="61" fillId="20" borderId="3" xfId="10" applyNumberFormat="1" applyFont="1" applyFill="1" applyBorder="1" applyAlignment="1">
      <alignment horizontal="center" vertical="center"/>
    </xf>
    <xf numFmtId="179" fontId="4" fillId="0" borderId="3" xfId="0" applyNumberFormat="1" applyFont="1" applyBorder="1" applyAlignment="1" applyProtection="1">
      <alignment vertical="center" wrapText="1"/>
    </xf>
    <xf numFmtId="17" fontId="34" fillId="2" borderId="0" xfId="0" applyNumberFormat="1" applyFont="1" applyFill="1" applyBorder="1" applyAlignment="1" applyProtection="1">
      <alignment vertical="center"/>
    </xf>
    <xf numFmtId="164" fontId="11" fillId="15" borderId="0" xfId="2" applyFont="1" applyFill="1" applyBorder="1" applyAlignment="1" applyProtection="1">
      <alignment horizontal="center" vertical="center"/>
    </xf>
    <xf numFmtId="164" fontId="11" fillId="15" borderId="24" xfId="2" applyFont="1" applyFill="1" applyBorder="1" applyAlignment="1" applyProtection="1">
      <alignment horizontal="center" vertical="center"/>
    </xf>
    <xf numFmtId="164" fontId="11" fillId="15" borderId="23" xfId="2" applyFont="1" applyFill="1" applyBorder="1" applyAlignment="1" applyProtection="1">
      <alignment horizontal="center" vertical="center"/>
    </xf>
    <xf numFmtId="165" fontId="37" fillId="0" borderId="0" xfId="1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17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2" applyFont="1" applyFill="1" applyBorder="1" applyAlignment="1" applyProtection="1">
      <alignment horizontal="center" vertical="center"/>
    </xf>
    <xf numFmtId="43" fontId="0" fillId="2" borderId="0" xfId="0" applyNumberFormat="1" applyFill="1" applyAlignment="1" applyProtection="1">
      <alignment vertical="center"/>
    </xf>
    <xf numFmtId="4" fontId="0" fillId="2" borderId="0" xfId="0" applyNumberFormat="1" applyFill="1" applyBorder="1" applyAlignment="1" applyProtection="1">
      <alignment vertical="center"/>
    </xf>
    <xf numFmtId="43" fontId="0" fillId="2" borderId="0" xfId="0" applyNumberFormat="1" applyFill="1" applyBorder="1" applyAlignment="1" applyProtection="1">
      <alignment vertical="center"/>
    </xf>
    <xf numFmtId="179" fontId="0" fillId="2" borderId="0" xfId="0" applyNumberFormat="1" applyFill="1" applyAlignment="1" applyProtection="1">
      <alignment vertical="center"/>
    </xf>
    <xf numFmtId="179" fontId="0" fillId="0" borderId="0" xfId="0" applyNumberFormat="1" applyFill="1" applyAlignment="1" applyProtection="1">
      <alignment vertical="center"/>
    </xf>
    <xf numFmtId="179" fontId="0" fillId="2" borderId="0" xfId="4" applyNumberFormat="1" applyFont="1" applyFill="1" applyAlignment="1" applyProtection="1">
      <alignment vertical="center"/>
    </xf>
    <xf numFmtId="0" fontId="1" fillId="0" borderId="3" xfId="0" applyFont="1" applyBorder="1" applyProtection="1"/>
    <xf numFmtId="0" fontId="0" fillId="21" borderId="6" xfId="0" applyFill="1" applyBorder="1" applyAlignment="1">
      <alignment vertical="center"/>
    </xf>
    <xf numFmtId="43" fontId="0" fillId="2" borderId="27" xfId="0" applyNumberFormat="1" applyFill="1" applyBorder="1" applyAlignment="1" applyProtection="1">
      <alignment vertical="center"/>
    </xf>
    <xf numFmtId="43" fontId="0" fillId="2" borderId="21" xfId="0" applyNumberFormat="1" applyFill="1" applyBorder="1" applyAlignment="1" applyProtection="1">
      <alignment vertical="center"/>
    </xf>
    <xf numFmtId="0" fontId="1" fillId="13" borderId="3" xfId="0" applyFont="1" applyFill="1" applyBorder="1" applyAlignment="1">
      <alignment horizontal="left" vertical="center"/>
    </xf>
    <xf numFmtId="0" fontId="1" fillId="13" borderId="3" xfId="0" applyFont="1" applyFill="1" applyBorder="1" applyAlignment="1">
      <alignment horizontal="left" vertical="center" wrapText="1"/>
    </xf>
    <xf numFmtId="168" fontId="0" fillId="0" borderId="0" xfId="4" applyNumberFormat="1" applyFont="1"/>
    <xf numFmtId="167" fontId="1" fillId="0" borderId="0" xfId="4" applyNumberFormat="1" applyFont="1"/>
    <xf numFmtId="167" fontId="0" fillId="0" borderId="0" xfId="0" applyNumberFormat="1"/>
    <xf numFmtId="0" fontId="68" fillId="0" borderId="0" xfId="0" applyFont="1" applyFill="1" applyBorder="1" applyAlignment="1" applyProtection="1">
      <alignment horizontal="left" vertical="center"/>
    </xf>
    <xf numFmtId="181" fontId="0" fillId="0" borderId="0" xfId="0" applyNumberFormat="1"/>
    <xf numFmtId="0" fontId="1" fillId="2" borderId="0" xfId="0" applyFont="1" applyFill="1" applyAlignment="1" applyProtection="1">
      <alignment vertical="center"/>
    </xf>
    <xf numFmtId="2" fontId="0" fillId="2" borderId="0" xfId="0" applyNumberFormat="1" applyFill="1" applyAlignment="1" applyProtection="1">
      <alignment vertical="center"/>
    </xf>
    <xf numFmtId="0" fontId="4" fillId="2" borderId="27" xfId="0" applyFont="1" applyFill="1" applyBorder="1" applyAlignment="1" applyProtection="1">
      <alignment vertical="center"/>
    </xf>
    <xf numFmtId="0" fontId="4" fillId="2" borderId="22" xfId="0" applyFont="1" applyFill="1" applyBorder="1" applyAlignment="1" applyProtection="1">
      <alignment vertical="center"/>
    </xf>
    <xf numFmtId="0" fontId="1" fillId="22" borderId="0" xfId="0" applyFont="1" applyFill="1"/>
    <xf numFmtId="0" fontId="1" fillId="22" borderId="3" xfId="0" applyFont="1" applyFill="1" applyBorder="1"/>
    <xf numFmtId="167" fontId="1" fillId="22" borderId="3" xfId="0" applyNumberFormat="1" applyFont="1" applyFill="1" applyBorder="1"/>
    <xf numFmtId="168" fontId="0" fillId="0" borderId="0" xfId="0" applyNumberFormat="1"/>
    <xf numFmtId="14" fontId="1" fillId="19" borderId="3" xfId="0" applyNumberFormat="1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horizontal="center" vertical="center"/>
    </xf>
    <xf numFmtId="0" fontId="29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>
      <alignment horizontal="right" vertical="center"/>
    </xf>
    <xf numFmtId="177" fontId="26" fillId="0" borderId="0" xfId="2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0" fillId="0" borderId="3" xfId="0" applyFill="1" applyBorder="1" applyProtection="1"/>
    <xf numFmtId="165" fontId="0" fillId="0" borderId="3" xfId="10" applyNumberFormat="1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</xf>
    <xf numFmtId="0" fontId="0" fillId="0" borderId="0" xfId="0" applyProtection="1">
      <protection hidden="1"/>
    </xf>
    <xf numFmtId="0" fontId="11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22" fontId="12" fillId="0" borderId="0" xfId="0" applyNumberFormat="1" applyFont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0" fontId="0" fillId="16" borderId="50" xfId="0" applyFill="1" applyBorder="1" applyAlignment="1" applyProtection="1">
      <protection hidden="1"/>
    </xf>
    <xf numFmtId="0" fontId="0" fillId="0" borderId="51" xfId="0" applyFill="1" applyBorder="1" applyAlignment="1" applyProtection="1">
      <protection hidden="1"/>
    </xf>
    <xf numFmtId="0" fontId="4" fillId="0" borderId="50" xfId="0" applyFont="1" applyBorder="1" applyProtection="1">
      <protection hidden="1"/>
    </xf>
    <xf numFmtId="22" fontId="4" fillId="0" borderId="50" xfId="0" applyNumberFormat="1" applyFont="1" applyBorder="1" applyAlignment="1" applyProtection="1">
      <alignment horizontal="left"/>
      <protection hidden="1"/>
    </xf>
    <xf numFmtId="22" fontId="12" fillId="0" borderId="51" xfId="0" applyNumberFormat="1" applyFont="1" applyBorder="1" applyAlignment="1" applyProtection="1">
      <alignment horizontal="center"/>
      <protection hidden="1"/>
    </xf>
    <xf numFmtId="0" fontId="0" fillId="0" borderId="52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53" xfId="0" applyBorder="1" applyProtection="1">
      <protection hidden="1"/>
    </xf>
    <xf numFmtId="22" fontId="12" fillId="17" borderId="0" xfId="0" applyNumberFormat="1" applyFont="1" applyFill="1" applyBorder="1" applyAlignment="1" applyProtection="1">
      <alignment horizontal="left"/>
      <protection hidden="1"/>
    </xf>
    <xf numFmtId="22" fontId="12" fillId="17" borderId="53" xfId="0" applyNumberFormat="1" applyFont="1" applyFill="1" applyBorder="1" applyAlignment="1" applyProtection="1">
      <alignment horizontal="center"/>
      <protection hidden="1"/>
    </xf>
    <xf numFmtId="172" fontId="0" fillId="17" borderId="0" xfId="0" applyNumberFormat="1" applyFill="1" applyBorder="1" applyAlignment="1" applyProtection="1">
      <alignment horizontal="center"/>
      <protection hidden="1"/>
    </xf>
    <xf numFmtId="0" fontId="0" fillId="0" borderId="5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56" xfId="0" applyBorder="1" applyProtection="1">
      <protection hidden="1"/>
    </xf>
    <xf numFmtId="0" fontId="0" fillId="0" borderId="0" xfId="0" applyFill="1" applyBorder="1" applyProtection="1">
      <protection hidden="1"/>
    </xf>
    <xf numFmtId="14" fontId="0" fillId="17" borderId="0" xfId="0" applyNumberFormat="1" applyFill="1" applyBorder="1" applyAlignment="1" applyProtection="1">
      <alignment horizontal="center"/>
      <protection hidden="1"/>
    </xf>
    <xf numFmtId="167" fontId="1" fillId="0" borderId="51" xfId="4" applyNumberFormat="1" applyBorder="1" applyProtection="1">
      <protection hidden="1"/>
    </xf>
    <xf numFmtId="14" fontId="0" fillId="0" borderId="51" xfId="0" applyNumberFormat="1" applyBorder="1" applyAlignment="1" applyProtection="1">
      <alignment horizontal="center"/>
      <protection hidden="1"/>
    </xf>
    <xf numFmtId="167" fontId="1" fillId="0" borderId="53" xfId="4" applyNumberFormat="1" applyBorder="1" applyProtection="1">
      <protection hidden="1"/>
    </xf>
    <xf numFmtId="14" fontId="0" fillId="0" borderId="53" xfId="0" applyNumberFormat="1" applyBorder="1" applyAlignment="1" applyProtection="1">
      <alignment horizontal="center"/>
      <protection hidden="1"/>
    </xf>
    <xf numFmtId="22" fontId="12" fillId="0" borderId="0" xfId="0" applyNumberFormat="1" applyFont="1" applyBorder="1" applyAlignment="1" applyProtection="1">
      <alignment horizontal="center"/>
      <protection hidden="1"/>
    </xf>
    <xf numFmtId="22" fontId="12" fillId="0" borderId="53" xfId="0" applyNumberFormat="1" applyFont="1" applyBorder="1" applyAlignment="1" applyProtection="1">
      <alignment horizontal="center"/>
      <protection hidden="1"/>
    </xf>
    <xf numFmtId="14" fontId="1" fillId="17" borderId="56" xfId="4" applyNumberFormat="1" applyFont="1" applyFill="1" applyBorder="1" applyAlignment="1" applyProtection="1">
      <alignment horizontal="center"/>
      <protection hidden="1"/>
    </xf>
    <xf numFmtId="165" fontId="0" fillId="0" borderId="54" xfId="10" applyNumberFormat="1" applyFont="1" applyBorder="1" applyProtection="1">
      <protection hidden="1"/>
    </xf>
    <xf numFmtId="165" fontId="0" fillId="0" borderId="56" xfId="10" applyNumberFormat="1" applyFont="1" applyBorder="1" applyProtection="1">
      <protection hidden="1"/>
    </xf>
    <xf numFmtId="22" fontId="12" fillId="0" borderId="55" xfId="0" applyNumberFormat="1" applyFont="1" applyBorder="1" applyAlignment="1" applyProtection="1">
      <alignment horizontal="center"/>
      <protection hidden="1"/>
    </xf>
    <xf numFmtId="22" fontId="12" fillId="0" borderId="56" xfId="0" applyNumberFormat="1" applyFont="1" applyBorder="1" applyAlignment="1" applyProtection="1">
      <alignment horizontal="center"/>
      <protection hidden="1"/>
    </xf>
    <xf numFmtId="0" fontId="0" fillId="0" borderId="50" xfId="0" applyFill="1" applyBorder="1" applyAlignment="1" applyProtection="1">
      <protection hidden="1"/>
    </xf>
    <xf numFmtId="0" fontId="0" fillId="0" borderId="50" xfId="0" applyBorder="1" applyAlignment="1" applyProtection="1">
      <alignment horizontal="center"/>
      <protection hidden="1"/>
    </xf>
    <xf numFmtId="10" fontId="1" fillId="0" borderId="0" xfId="4" applyNumberFormat="1" applyProtection="1">
      <protection hidden="1"/>
    </xf>
    <xf numFmtId="171" fontId="1" fillId="0" borderId="0" xfId="7" applyProtection="1">
      <protection hidden="1"/>
    </xf>
    <xf numFmtId="0" fontId="4" fillId="0" borderId="57" xfId="0" applyFont="1" applyBorder="1" applyAlignment="1" applyProtection="1">
      <alignment horizontal="center"/>
      <protection hidden="1"/>
    </xf>
    <xf numFmtId="0" fontId="4" fillId="0" borderId="58" xfId="0" applyFont="1" applyBorder="1" applyAlignment="1" applyProtection="1">
      <alignment horizontal="center"/>
      <protection hidden="1"/>
    </xf>
    <xf numFmtId="168" fontId="1" fillId="0" borderId="0" xfId="4" applyNumberFormat="1" applyProtection="1">
      <protection hidden="1"/>
    </xf>
    <xf numFmtId="0" fontId="0" fillId="0" borderId="59" xfId="0" applyBorder="1" applyAlignment="1" applyProtection="1">
      <alignment horizontal="center"/>
      <protection hidden="1"/>
    </xf>
    <xf numFmtId="0" fontId="0" fillId="0" borderId="59" xfId="0" applyFill="1" applyBorder="1" applyAlignment="1" applyProtection="1">
      <alignment horizontal="center"/>
      <protection hidden="1"/>
    </xf>
    <xf numFmtId="14" fontId="0" fillId="0" borderId="59" xfId="0" applyNumberFormat="1" applyFill="1" applyBorder="1" applyAlignment="1" applyProtection="1">
      <alignment horizontal="center"/>
      <protection hidden="1"/>
    </xf>
    <xf numFmtId="14" fontId="0" fillId="0" borderId="59" xfId="0" applyNumberFormat="1" applyBorder="1" applyAlignment="1" applyProtection="1">
      <alignment horizontal="center"/>
      <protection hidden="1"/>
    </xf>
    <xf numFmtId="171" fontId="1" fillId="0" borderId="59" xfId="8" applyBorder="1" applyProtection="1">
      <protection hidden="1"/>
    </xf>
    <xf numFmtId="171" fontId="1" fillId="0" borderId="59" xfId="7" applyBorder="1" applyProtection="1">
      <protection hidden="1"/>
    </xf>
    <xf numFmtId="170" fontId="1" fillId="0" borderId="0" xfId="7" applyNumberFormat="1" applyProtection="1">
      <protection hidden="1"/>
    </xf>
    <xf numFmtId="0" fontId="4" fillId="0" borderId="0" xfId="0" applyFont="1" applyProtection="1">
      <protection hidden="1"/>
    </xf>
    <xf numFmtId="171" fontId="1" fillId="0" borderId="59" xfId="7" applyFill="1" applyBorder="1" applyProtection="1">
      <protection hidden="1"/>
    </xf>
    <xf numFmtId="0" fontId="0" fillId="17" borderId="3" xfId="0" applyFill="1" applyBorder="1" applyProtection="1">
      <protection hidden="1"/>
    </xf>
    <xf numFmtId="0" fontId="4" fillId="0" borderId="60" xfId="0" applyFont="1" applyBorder="1" applyProtection="1">
      <protection hidden="1"/>
    </xf>
    <xf numFmtId="171" fontId="4" fillId="0" borderId="61" xfId="0" applyNumberFormat="1" applyFont="1" applyFill="1" applyBorder="1" applyProtection="1">
      <protection hidden="1"/>
    </xf>
    <xf numFmtId="171" fontId="4" fillId="0" borderId="61" xfId="0" applyNumberFormat="1" applyFont="1" applyBorder="1" applyProtection="1">
      <protection hidden="1"/>
    </xf>
    <xf numFmtId="171" fontId="4" fillId="0" borderId="62" xfId="0" applyNumberFormat="1" applyFont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4" borderId="3" xfId="0" applyFill="1" applyBorder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17" borderId="59" xfId="0" applyFill="1" applyBorder="1" applyAlignment="1" applyProtection="1">
      <alignment horizontal="center"/>
      <protection hidden="1"/>
    </xf>
    <xf numFmtId="14" fontId="0" fillId="17" borderId="59" xfId="0" applyNumberFormat="1" applyFill="1" applyBorder="1" applyAlignment="1" applyProtection="1">
      <alignment horizontal="center"/>
      <protection hidden="1"/>
    </xf>
    <xf numFmtId="171" fontId="1" fillId="17" borderId="59" xfId="8" applyFill="1" applyBorder="1" applyProtection="1">
      <protection hidden="1"/>
    </xf>
    <xf numFmtId="10" fontId="1" fillId="0" borderId="52" xfId="4" applyNumberFormat="1" applyBorder="1" applyProtection="1">
      <protection hidden="1"/>
    </xf>
    <xf numFmtId="10" fontId="1" fillId="0" borderId="27" xfId="4" applyNumberFormat="1" applyBorder="1" applyProtection="1">
      <protection hidden="1"/>
    </xf>
    <xf numFmtId="166" fontId="0" fillId="0" borderId="3" xfId="10" applyNumberFormat="1" applyFont="1" applyBorder="1" applyProtection="1">
      <protection hidden="1"/>
    </xf>
    <xf numFmtId="171" fontId="1" fillId="0" borderId="4" xfId="7" applyBorder="1" applyProtection="1">
      <protection hidden="1"/>
    </xf>
    <xf numFmtId="171" fontId="0" fillId="0" borderId="3" xfId="0" applyNumberFormat="1" applyBorder="1" applyProtection="1">
      <protection hidden="1"/>
    </xf>
    <xf numFmtId="10" fontId="1" fillId="0" borderId="24" xfId="4" applyNumberFormat="1" applyBorder="1" applyProtection="1">
      <protection hidden="1"/>
    </xf>
    <xf numFmtId="171" fontId="1" fillId="17" borderId="59" xfId="7" applyFill="1" applyBorder="1" applyProtection="1">
      <protection hidden="1"/>
    </xf>
    <xf numFmtId="171" fontId="0" fillId="5" borderId="3" xfId="0" applyNumberFormat="1" applyFill="1" applyBorder="1" applyProtection="1">
      <protection hidden="1"/>
    </xf>
    <xf numFmtId="43" fontId="0" fillId="0" borderId="0" xfId="0" applyNumberFormat="1" applyProtection="1">
      <protection hidden="1"/>
    </xf>
    <xf numFmtId="0" fontId="4" fillId="0" borderId="59" xfId="0" applyFont="1" applyFill="1" applyBorder="1" applyAlignment="1" applyProtection="1">
      <alignment horizontal="center"/>
      <protection hidden="1"/>
    </xf>
    <xf numFmtId="14" fontId="4" fillId="0" borderId="59" xfId="0" applyNumberFormat="1" applyFont="1" applyFill="1" applyBorder="1" applyAlignment="1" applyProtection="1">
      <alignment horizontal="center"/>
      <protection hidden="1"/>
    </xf>
    <xf numFmtId="171" fontId="4" fillId="0" borderId="59" xfId="8" applyFont="1" applyFill="1" applyBorder="1" applyProtection="1">
      <protection hidden="1"/>
    </xf>
    <xf numFmtId="171" fontId="4" fillId="0" borderId="59" xfId="7" applyFont="1" applyBorder="1" applyProtection="1">
      <protection hidden="1"/>
    </xf>
    <xf numFmtId="171" fontId="0" fillId="0" borderId="15" xfId="0" applyNumberFormat="1" applyBorder="1" applyProtection="1">
      <protection hidden="1"/>
    </xf>
    <xf numFmtId="171" fontId="4" fillId="0" borderId="3" xfId="0" applyNumberFormat="1" applyFont="1" applyBorder="1" applyProtection="1">
      <protection hidden="1"/>
    </xf>
    <xf numFmtId="171" fontId="0" fillId="0" borderId="7" xfId="0" applyNumberFormat="1" applyBorder="1" applyProtection="1">
      <protection hidden="1"/>
    </xf>
    <xf numFmtId="4" fontId="1" fillId="0" borderId="0" xfId="4" applyNumberFormat="1" applyProtection="1">
      <protection hidden="1"/>
    </xf>
    <xf numFmtId="0" fontId="11" fillId="0" borderId="63" xfId="0" applyFont="1" applyBorder="1" applyAlignment="1" applyProtection="1">
      <alignment horizontal="center"/>
      <protection hidden="1"/>
    </xf>
    <xf numFmtId="171" fontId="0" fillId="0" borderId="63" xfId="0" applyNumberFormat="1" applyBorder="1" applyProtection="1">
      <protection hidden="1"/>
    </xf>
    <xf numFmtId="173" fontId="1" fillId="17" borderId="63" xfId="7" applyNumberFormat="1" applyFill="1" applyBorder="1" applyProtection="1">
      <protection hidden="1"/>
    </xf>
    <xf numFmtId="171" fontId="0" fillId="17" borderId="63" xfId="0" applyNumberFormat="1" applyFill="1" applyBorder="1" applyProtection="1">
      <protection hidden="1"/>
    </xf>
    <xf numFmtId="173" fontId="1" fillId="0" borderId="63" xfId="7" applyNumberFormat="1" applyBorder="1" applyProtection="1">
      <protection hidden="1"/>
    </xf>
    <xf numFmtId="171" fontId="1" fillId="0" borderId="63" xfId="7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71" fontId="0" fillId="0" borderId="0" xfId="0" applyNumberFormat="1" applyBorder="1" applyProtection="1">
      <protection hidden="1"/>
    </xf>
    <xf numFmtId="173" fontId="1" fillId="0" borderId="0" xfId="7" applyNumberFormat="1" applyBorder="1" applyProtection="1">
      <protection hidden="1"/>
    </xf>
    <xf numFmtId="171" fontId="1" fillId="0" borderId="0" xfId="7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71" fontId="1" fillId="0" borderId="53" xfId="7" applyBorder="1" applyProtection="1">
      <protection hidden="1"/>
    </xf>
    <xf numFmtId="171" fontId="0" fillId="0" borderId="53" xfId="0" applyNumberFormat="1" applyBorder="1" applyProtection="1">
      <protection hidden="1"/>
    </xf>
    <xf numFmtId="10" fontId="1" fillId="0" borderId="56" xfId="4" applyNumberFormat="1" applyBorder="1" applyProtection="1">
      <protection hidden="1"/>
    </xf>
    <xf numFmtId="10" fontId="5" fillId="0" borderId="64" xfId="4" applyNumberFormat="1" applyFont="1" applyBorder="1" applyAlignment="1" applyProtection="1">
      <protection hidden="1"/>
    </xf>
    <xf numFmtId="0" fontId="5" fillId="0" borderId="65" xfId="0" applyFont="1" applyBorder="1" applyAlignment="1" applyProtection="1">
      <protection hidden="1"/>
    </xf>
    <xf numFmtId="0" fontId="5" fillId="0" borderId="66" xfId="0" applyFont="1" applyBorder="1" applyAlignment="1" applyProtection="1">
      <protection hidden="1"/>
    </xf>
    <xf numFmtId="0" fontId="5" fillId="0" borderId="66" xfId="0" applyFont="1" applyBorder="1" applyAlignment="1" applyProtection="1">
      <alignment horizontal="center"/>
      <protection hidden="1"/>
    </xf>
    <xf numFmtId="171" fontId="5" fillId="0" borderId="64" xfId="0" applyNumberFormat="1" applyFont="1" applyBorder="1" applyAlignment="1" applyProtection="1">
      <protection hidden="1"/>
    </xf>
    <xf numFmtId="171" fontId="4" fillId="0" borderId="67" xfId="0" applyNumberFormat="1" applyFont="1" applyBorder="1" applyAlignment="1" applyProtection="1">
      <protection hidden="1"/>
    </xf>
    <xf numFmtId="10" fontId="4" fillId="0" borderId="68" xfId="4" applyNumberFormat="1" applyFont="1" applyBorder="1" applyProtection="1">
      <protection hidden="1"/>
    </xf>
    <xf numFmtId="0" fontId="0" fillId="0" borderId="0" xfId="0" applyFill="1" applyProtection="1">
      <protection hidden="1"/>
    </xf>
    <xf numFmtId="10" fontId="0" fillId="0" borderId="3" xfId="0" applyNumberFormat="1" applyBorder="1"/>
    <xf numFmtId="0" fontId="0" fillId="23" borderId="0" xfId="0" applyFill="1"/>
    <xf numFmtId="14" fontId="0" fillId="23" borderId="0" xfId="0" applyNumberFormat="1" applyFill="1"/>
    <xf numFmtId="0" fontId="69" fillId="2" borderId="0" xfId="0" applyFont="1" applyFill="1" applyAlignment="1" applyProtection="1">
      <alignment vertical="center"/>
    </xf>
    <xf numFmtId="0" fontId="70" fillId="2" borderId="0" xfId="0" applyFont="1" applyFill="1" applyBorder="1" applyAlignment="1" applyProtection="1">
      <alignment horizontal="center" vertical="center"/>
    </xf>
    <xf numFmtId="165" fontId="70" fillId="2" borderId="0" xfId="10" applyFont="1" applyFill="1" applyBorder="1" applyAlignment="1" applyProtection="1">
      <alignment horizontal="center" vertical="center"/>
    </xf>
    <xf numFmtId="0" fontId="70" fillId="2" borderId="0" xfId="0" applyNumberFormat="1" applyFont="1" applyFill="1" applyBorder="1" applyAlignment="1" applyProtection="1">
      <alignment vertical="center"/>
    </xf>
    <xf numFmtId="17" fontId="70" fillId="2" borderId="0" xfId="0" applyNumberFormat="1" applyFont="1" applyFill="1" applyBorder="1" applyAlignment="1" applyProtection="1">
      <alignment horizontal="center" vertical="center"/>
    </xf>
    <xf numFmtId="0" fontId="69" fillId="2" borderId="0" xfId="0" applyFont="1" applyFill="1" applyBorder="1" applyAlignment="1" applyProtection="1">
      <alignment vertical="center"/>
    </xf>
    <xf numFmtId="0" fontId="71" fillId="2" borderId="24" xfId="0" applyFont="1" applyFill="1" applyBorder="1" applyAlignment="1" applyProtection="1">
      <alignment horizontal="center" vertical="center" wrapText="1"/>
      <protection locked="0"/>
    </xf>
    <xf numFmtId="0" fontId="72" fillId="2" borderId="0" xfId="0" applyFont="1" applyFill="1" applyBorder="1" applyAlignment="1" applyProtection="1">
      <alignment horizontal="center" vertical="center"/>
    </xf>
    <xf numFmtId="165" fontId="72" fillId="2" borderId="0" xfId="10" applyFont="1" applyFill="1" applyBorder="1" applyAlignment="1" applyProtection="1">
      <alignment horizontal="center" vertical="center"/>
    </xf>
    <xf numFmtId="0" fontId="72" fillId="2" borderId="0" xfId="0" applyNumberFormat="1" applyFont="1" applyFill="1" applyBorder="1" applyAlignment="1" applyProtection="1">
      <alignment vertical="center"/>
    </xf>
    <xf numFmtId="17" fontId="72" fillId="2" borderId="0" xfId="0" applyNumberFormat="1" applyFont="1" applyFill="1" applyBorder="1" applyAlignment="1" applyProtection="1">
      <alignment horizontal="center" vertical="center"/>
    </xf>
    <xf numFmtId="0" fontId="73" fillId="2" borderId="0" xfId="0" applyFont="1" applyFill="1" applyBorder="1" applyAlignment="1" applyProtection="1">
      <alignment vertical="center"/>
    </xf>
    <xf numFmtId="164" fontId="0" fillId="2" borderId="24" xfId="0" applyNumberFormat="1" applyFill="1" applyBorder="1" applyAlignment="1" applyProtection="1">
      <alignment vertical="center"/>
    </xf>
    <xf numFmtId="166" fontId="1" fillId="0" borderId="3" xfId="10" applyNumberFormat="1" applyFont="1" applyBorder="1" applyAlignment="1" applyProtection="1">
      <alignment horizontal="center" vertical="center" wrapText="1"/>
    </xf>
    <xf numFmtId="0" fontId="8" fillId="24" borderId="120" xfId="0" applyFont="1" applyFill="1" applyBorder="1" applyAlignment="1" applyProtection="1">
      <alignment horizontal="center" vertical="center" wrapText="1"/>
    </xf>
    <xf numFmtId="14" fontId="0" fillId="22" borderId="0" xfId="0" applyNumberFormat="1" applyFill="1"/>
    <xf numFmtId="0" fontId="4" fillId="0" borderId="70" xfId="0" applyFont="1" applyBorder="1" applyAlignment="1">
      <alignment horizontal="center" vertical="center"/>
    </xf>
    <xf numFmtId="9" fontId="0" fillId="0" borderId="70" xfId="4" applyFont="1" applyBorder="1" applyAlignment="1">
      <alignment horizontal="center" vertical="center"/>
    </xf>
    <xf numFmtId="0" fontId="20" fillId="2" borderId="0" xfId="0" applyFont="1" applyFill="1" applyAlignment="1" applyProtection="1">
      <alignment vertical="center"/>
    </xf>
    <xf numFmtId="166" fontId="74" fillId="23" borderId="0" xfId="10" applyNumberFormat="1" applyFont="1" applyFill="1" applyAlignment="1" applyProtection="1">
      <alignment vertical="center"/>
    </xf>
    <xf numFmtId="43" fontId="4" fillId="22" borderId="0" xfId="0" applyNumberFormat="1" applyFont="1" applyFill="1" applyAlignment="1" applyProtection="1">
      <alignment vertical="center" wrapText="1"/>
    </xf>
    <xf numFmtId="0" fontId="0" fillId="22" borderId="0" xfId="0" applyFill="1" applyAlignment="1" applyProtection="1">
      <alignment vertical="center" wrapText="1"/>
    </xf>
    <xf numFmtId="0" fontId="62" fillId="22" borderId="0" xfId="0" applyFont="1" applyFill="1" applyBorder="1" applyAlignment="1" applyProtection="1">
      <alignment vertical="center"/>
    </xf>
    <xf numFmtId="0" fontId="74" fillId="23" borderId="0" xfId="0" applyFont="1" applyFill="1" applyAlignment="1" applyProtection="1">
      <alignment vertical="center"/>
    </xf>
    <xf numFmtId="165" fontId="1" fillId="20" borderId="3" xfId="10" applyNumberFormat="1" applyFill="1" applyBorder="1" applyAlignment="1">
      <alignment horizontal="center" vertical="center"/>
    </xf>
    <xf numFmtId="17" fontId="0" fillId="0" borderId="0" xfId="0" applyNumberFormat="1"/>
    <xf numFmtId="165" fontId="1" fillId="19" borderId="3" xfId="10" applyNumberFormat="1" applyFont="1" applyFill="1" applyBorder="1" applyAlignment="1">
      <alignment horizontal="center" vertical="center"/>
    </xf>
    <xf numFmtId="165" fontId="1" fillId="20" borderId="3" xfId="10" applyNumberFormat="1" applyFont="1" applyFill="1" applyBorder="1" applyAlignment="1">
      <alignment horizontal="center" vertical="center"/>
    </xf>
    <xf numFmtId="0" fontId="1" fillId="19" borderId="12" xfId="10" applyNumberFormat="1" applyFont="1" applyFill="1" applyBorder="1" applyAlignment="1">
      <alignment horizontal="center" vertical="center" wrapText="1"/>
    </xf>
    <xf numFmtId="0" fontId="73" fillId="2" borderId="0" xfId="0" applyFont="1" applyFill="1" applyAlignment="1" applyProtection="1">
      <alignment vertical="center"/>
    </xf>
    <xf numFmtId="165" fontId="1" fillId="19" borderId="3" xfId="10" applyNumberFormat="1" applyFill="1" applyBorder="1" applyAlignment="1">
      <alignment horizontal="center" vertical="center"/>
    </xf>
    <xf numFmtId="0" fontId="75" fillId="23" borderId="0" xfId="0" applyFont="1" applyFill="1" applyAlignment="1" applyProtection="1">
      <alignment vertical="center"/>
    </xf>
    <xf numFmtId="17" fontId="74" fillId="2" borderId="0" xfId="0" applyNumberFormat="1" applyFont="1" applyFill="1" applyBorder="1" applyAlignment="1" applyProtection="1">
      <alignment vertical="center"/>
    </xf>
    <xf numFmtId="17" fontId="74" fillId="2" borderId="0" xfId="0" applyNumberFormat="1" applyFont="1" applyFill="1" applyAlignment="1" applyProtection="1">
      <alignment vertical="center"/>
    </xf>
    <xf numFmtId="17" fontId="74" fillId="2" borderId="25" xfId="0" applyNumberFormat="1" applyFont="1" applyFill="1" applyBorder="1" applyAlignment="1" applyProtection="1">
      <alignment vertical="center"/>
    </xf>
    <xf numFmtId="0" fontId="30" fillId="2" borderId="0" xfId="0" applyFont="1" applyFill="1" applyBorder="1" applyAlignment="1" applyProtection="1">
      <alignment vertical="center" wrapText="1"/>
    </xf>
    <xf numFmtId="0" fontId="30" fillId="2" borderId="0" xfId="0" applyFont="1" applyFill="1" applyBorder="1" applyAlignment="1" applyProtection="1">
      <alignment vertical="center"/>
    </xf>
    <xf numFmtId="166" fontId="1" fillId="0" borderId="3" xfId="11" applyNumberFormat="1" applyFont="1" applyFill="1" applyBorder="1" applyAlignment="1" applyProtection="1">
      <alignment vertical="center" wrapText="1"/>
    </xf>
    <xf numFmtId="10" fontId="2" fillId="0" borderId="3" xfId="5" applyNumberFormat="1" applyFont="1" applyFill="1" applyBorder="1" applyAlignment="1" applyProtection="1">
      <alignment vertical="center" wrapText="1"/>
    </xf>
    <xf numFmtId="166" fontId="4" fillId="24" borderId="121" xfId="11" applyNumberFormat="1" applyFont="1" applyFill="1" applyBorder="1" applyAlignment="1" applyProtection="1">
      <alignment vertical="center" wrapText="1"/>
    </xf>
    <xf numFmtId="10" fontId="6" fillId="24" borderId="122" xfId="5" applyNumberFormat="1" applyFont="1" applyFill="1" applyBorder="1" applyAlignment="1" applyProtection="1">
      <alignment vertical="center" wrapText="1"/>
    </xf>
    <xf numFmtId="0" fontId="73" fillId="2" borderId="23" xfId="0" applyFont="1" applyFill="1" applyBorder="1" applyAlignment="1" applyProtection="1">
      <alignment vertical="center"/>
    </xf>
    <xf numFmtId="0" fontId="73" fillId="0" borderId="3" xfId="0" applyFont="1" applyBorder="1" applyProtection="1"/>
    <xf numFmtId="0" fontId="73" fillId="2" borderId="3" xfId="0" applyFont="1" applyFill="1" applyBorder="1" applyAlignment="1" applyProtection="1">
      <alignment horizontal="right" vertical="center"/>
    </xf>
    <xf numFmtId="0" fontId="73" fillId="2" borderId="3" xfId="0" applyFont="1" applyFill="1" applyBorder="1" applyAlignment="1" applyProtection="1">
      <alignment horizontal="center" vertical="center"/>
    </xf>
    <xf numFmtId="165" fontId="73" fillId="2" borderId="3" xfId="10" applyNumberFormat="1" applyFont="1" applyFill="1" applyBorder="1" applyAlignment="1" applyProtection="1">
      <alignment horizontal="center" vertical="center"/>
    </xf>
    <xf numFmtId="165" fontId="73" fillId="2" borderId="0" xfId="10" applyFont="1" applyFill="1" applyBorder="1" applyAlignment="1" applyProtection="1">
      <alignment vertical="center"/>
    </xf>
    <xf numFmtId="0" fontId="73" fillId="2" borderId="0" xfId="0" applyFont="1" applyFill="1" applyAlignment="1" applyProtection="1">
      <alignment horizontal="left" vertical="center"/>
    </xf>
    <xf numFmtId="0" fontId="73" fillId="2" borderId="0" xfId="0" applyFont="1" applyFill="1" applyBorder="1" applyAlignment="1" applyProtection="1">
      <alignment wrapText="1"/>
    </xf>
    <xf numFmtId="0" fontId="76" fillId="2" borderId="0" xfId="0" applyFont="1" applyFill="1" applyBorder="1" applyAlignment="1" applyProtection="1">
      <alignment vertical="center" wrapText="1"/>
    </xf>
    <xf numFmtId="165" fontId="72" fillId="2" borderId="24" xfId="10" applyFont="1" applyFill="1" applyBorder="1" applyAlignment="1" applyProtection="1">
      <alignment horizontal="center" vertical="center"/>
    </xf>
    <xf numFmtId="165" fontId="72" fillId="2" borderId="23" xfId="1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center" vertical="center" wrapText="1"/>
      <protection locked="0"/>
    </xf>
    <xf numFmtId="0" fontId="74" fillId="2" borderId="0" xfId="0" applyNumberFormat="1" applyFont="1" applyFill="1" applyBorder="1" applyAlignment="1" applyProtection="1">
      <alignment vertical="center"/>
    </xf>
    <xf numFmtId="164" fontId="0" fillId="2" borderId="0" xfId="0" applyNumberFormat="1" applyFill="1" applyBorder="1" applyAlignment="1" applyProtection="1">
      <alignment horizontal="center" vertical="center"/>
    </xf>
    <xf numFmtId="167" fontId="1" fillId="0" borderId="3" xfId="0" applyNumberFormat="1" applyFont="1" applyBorder="1"/>
    <xf numFmtId="0" fontId="1" fillId="23" borderId="0" xfId="0" applyFont="1" applyFill="1"/>
    <xf numFmtId="0" fontId="1" fillId="25" borderId="3" xfId="0" applyFont="1" applyFill="1" applyBorder="1"/>
    <xf numFmtId="0" fontId="0" fillId="22" borderId="3" xfId="0" applyFill="1" applyBorder="1"/>
    <xf numFmtId="0" fontId="0" fillId="25" borderId="3" xfId="0" applyFill="1" applyBorder="1"/>
    <xf numFmtId="0" fontId="0" fillId="19" borderId="3" xfId="0" applyFill="1" applyBorder="1"/>
    <xf numFmtId="167" fontId="0" fillId="19" borderId="3" xfId="0" applyNumberFormat="1" applyFill="1" applyBorder="1"/>
    <xf numFmtId="0" fontId="4" fillId="22" borderId="3" xfId="0" applyFont="1" applyFill="1" applyBorder="1" applyAlignment="1">
      <alignment horizontal="center"/>
    </xf>
    <xf numFmtId="0" fontId="1" fillId="0" borderId="0" xfId="0" applyFont="1" applyFill="1" applyBorder="1"/>
    <xf numFmtId="167" fontId="0" fillId="25" borderId="3" xfId="0" applyNumberFormat="1" applyFill="1" applyBorder="1"/>
    <xf numFmtId="167" fontId="0" fillId="22" borderId="3" xfId="0" applyNumberFormat="1" applyFill="1" applyBorder="1"/>
    <xf numFmtId="0" fontId="71" fillId="2" borderId="24" xfId="0" applyFont="1" applyFill="1" applyBorder="1" applyAlignment="1" applyProtection="1">
      <alignment horizontal="center" vertical="center" wrapText="1"/>
    </xf>
    <xf numFmtId="165" fontId="77" fillId="2" borderId="0" xfId="10" applyNumberFormat="1" applyFont="1" applyFill="1" applyAlignment="1" applyProtection="1">
      <alignment vertical="center"/>
    </xf>
    <xf numFmtId="165" fontId="77" fillId="2" borderId="42" xfId="10" applyNumberFormat="1" applyFont="1" applyFill="1" applyBorder="1" applyAlignment="1" applyProtection="1">
      <alignment vertical="center"/>
    </xf>
    <xf numFmtId="167" fontId="1" fillId="19" borderId="3" xfId="0" applyNumberFormat="1" applyFont="1" applyFill="1" applyBorder="1"/>
    <xf numFmtId="167" fontId="0" fillId="0" borderId="0" xfId="0" applyNumberFormat="1" applyBorder="1"/>
    <xf numFmtId="0" fontId="1" fillId="2" borderId="23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center" vertical="center"/>
    </xf>
    <xf numFmtId="165" fontId="1" fillId="2" borderId="3" xfId="1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165" fontId="1" fillId="2" borderId="0" xfId="1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horizontal="left" vertical="center"/>
    </xf>
    <xf numFmtId="0" fontId="74" fillId="2" borderId="0" xfId="0" applyFont="1" applyFill="1" applyAlignment="1" applyProtection="1">
      <alignment vertical="center"/>
    </xf>
    <xf numFmtId="167" fontId="1" fillId="25" borderId="3" xfId="0" applyNumberFormat="1" applyFont="1" applyFill="1" applyBorder="1"/>
    <xf numFmtId="0" fontId="4" fillId="25" borderId="3" xfId="0" applyFont="1" applyFill="1" applyBorder="1" applyAlignment="1">
      <alignment horizontal="center"/>
    </xf>
    <xf numFmtId="167" fontId="1" fillId="0" borderId="0" xfId="0" applyNumberFormat="1" applyFont="1"/>
    <xf numFmtId="179" fontId="0" fillId="0" borderId="0" xfId="4" applyNumberFormat="1" applyFont="1"/>
    <xf numFmtId="182" fontId="0" fillId="0" borderId="0" xfId="4" applyNumberFormat="1" applyFont="1"/>
    <xf numFmtId="183" fontId="1" fillId="0" borderId="0" xfId="4" applyNumberFormat="1" applyFont="1"/>
    <xf numFmtId="165" fontId="0" fillId="2" borderId="0" xfId="0" applyNumberFormat="1" applyFill="1" applyBorder="1" applyAlignment="1" applyProtection="1">
      <alignment vertical="center"/>
    </xf>
    <xf numFmtId="10" fontId="78" fillId="2" borderId="18" xfId="4" applyNumberFormat="1" applyFont="1" applyFill="1" applyBorder="1" applyAlignment="1" applyProtection="1">
      <alignment vertical="center"/>
    </xf>
    <xf numFmtId="0" fontId="78" fillId="2" borderId="26" xfId="0" applyFont="1" applyFill="1" applyBorder="1" applyAlignment="1" applyProtection="1">
      <alignment vertical="center"/>
    </xf>
    <xf numFmtId="164" fontId="79" fillId="2" borderId="0" xfId="0" applyNumberFormat="1" applyFont="1" applyFill="1" applyAlignment="1" applyProtection="1">
      <alignment vertical="center"/>
    </xf>
    <xf numFmtId="0" fontId="74" fillId="0" borderId="0" xfId="0" applyFont="1" applyFill="1" applyBorder="1" applyAlignment="1" applyProtection="1">
      <alignment vertical="center"/>
    </xf>
    <xf numFmtId="0" fontId="79" fillId="2" borderId="0" xfId="0" applyFont="1" applyFill="1" applyAlignment="1" applyProtection="1">
      <alignment vertical="center"/>
    </xf>
    <xf numFmtId="164" fontId="29" fillId="0" borderId="0" xfId="2" applyFont="1" applyFill="1" applyBorder="1" applyAlignment="1" applyProtection="1">
      <alignment horizontal="center" vertical="center"/>
      <protection locked="0"/>
    </xf>
    <xf numFmtId="164" fontId="20" fillId="0" borderId="0" xfId="2" applyFont="1" applyFill="1" applyBorder="1" applyAlignment="1" applyProtection="1">
      <alignment horizontal="center" vertical="center"/>
      <protection locked="0"/>
    </xf>
    <xf numFmtId="181" fontId="0" fillId="0" borderId="0" xfId="4" applyNumberFormat="1" applyFont="1"/>
    <xf numFmtId="167" fontId="1" fillId="25" borderId="0" xfId="0" applyNumberFormat="1" applyFont="1" applyFill="1"/>
    <xf numFmtId="14" fontId="1" fillId="17" borderId="0" xfId="0" applyNumberFormat="1" applyFont="1" applyFill="1" applyBorder="1" applyAlignment="1" applyProtection="1">
      <alignment horizontal="center"/>
      <protection hidden="1"/>
    </xf>
    <xf numFmtId="0" fontId="80" fillId="23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49" fontId="74" fillId="2" borderId="25" xfId="0" applyNumberFormat="1" applyFont="1" applyFill="1" applyBorder="1" applyAlignment="1" applyProtection="1">
      <alignment vertical="center"/>
    </xf>
    <xf numFmtId="0" fontId="47" fillId="2" borderId="0" xfId="0" applyFont="1" applyFill="1" applyBorder="1" applyAlignment="1" applyProtection="1">
      <alignment vertical="center"/>
    </xf>
    <xf numFmtId="0" fontId="4" fillId="26" borderId="70" xfId="0" applyFont="1" applyFill="1" applyBorder="1" applyAlignment="1">
      <alignment horizontal="center" vertical="center"/>
    </xf>
    <xf numFmtId="0" fontId="4" fillId="26" borderId="72" xfId="0" applyFont="1" applyFill="1" applyBorder="1" applyAlignment="1">
      <alignment horizontal="center" vertical="center"/>
    </xf>
    <xf numFmtId="0" fontId="4" fillId="26" borderId="40" xfId="0" applyFont="1" applyFill="1" applyBorder="1" applyAlignment="1">
      <alignment horizontal="center" vertical="center"/>
    </xf>
    <xf numFmtId="0" fontId="4" fillId="26" borderId="73" xfId="0" applyFont="1" applyFill="1" applyBorder="1" applyAlignment="1">
      <alignment horizontal="center" vertical="center"/>
    </xf>
    <xf numFmtId="4" fontId="4" fillId="26" borderId="73" xfId="2" applyNumberFormat="1" applyFont="1" applyFill="1" applyBorder="1" applyAlignment="1">
      <alignment horizontal="center" vertical="center"/>
    </xf>
    <xf numFmtId="10" fontId="28" fillId="27" borderId="74" xfId="0" applyNumberFormat="1" applyFont="1" applyFill="1" applyBorder="1" applyAlignment="1" applyProtection="1">
      <alignment vertical="center"/>
    </xf>
    <xf numFmtId="10" fontId="28" fillId="27" borderId="75" xfId="0" applyNumberFormat="1" applyFont="1" applyFill="1" applyBorder="1" applyAlignment="1" applyProtection="1">
      <alignment horizontal="left" vertical="center"/>
    </xf>
    <xf numFmtId="0" fontId="0" fillId="3" borderId="29" xfId="0" applyFill="1" applyBorder="1" applyAlignment="1" applyProtection="1">
      <alignment vertical="center"/>
    </xf>
    <xf numFmtId="0" fontId="65" fillId="3" borderId="39" xfId="0" applyFont="1" applyFill="1" applyBorder="1" applyAlignment="1" applyProtection="1">
      <alignment vertical="center"/>
    </xf>
    <xf numFmtId="0" fontId="0" fillId="3" borderId="39" xfId="0" applyFill="1" applyBorder="1" applyAlignment="1" applyProtection="1">
      <alignment vertical="center"/>
    </xf>
    <xf numFmtId="10" fontId="81" fillId="27" borderId="123" xfId="0" applyNumberFormat="1" applyFont="1" applyFill="1" applyBorder="1" applyAlignment="1" applyProtection="1">
      <alignment vertical="center"/>
    </xf>
    <xf numFmtId="10" fontId="11" fillId="27" borderId="1" xfId="4" applyNumberFormat="1" applyFont="1" applyFill="1" applyBorder="1" applyAlignment="1" applyProtection="1">
      <alignment horizontal="center" vertical="center"/>
    </xf>
    <xf numFmtId="17" fontId="11" fillId="2" borderId="3" xfId="0" applyNumberFormat="1" applyFont="1" applyFill="1" applyBorder="1" applyAlignment="1" applyProtection="1">
      <alignment horizontal="center" vertical="center"/>
    </xf>
    <xf numFmtId="43" fontId="19" fillId="27" borderId="41" xfId="0" applyNumberFormat="1" applyFont="1" applyFill="1" applyBorder="1" applyAlignment="1" applyProtection="1">
      <alignment vertical="center"/>
    </xf>
    <xf numFmtId="0" fontId="19" fillId="27" borderId="41" xfId="0" applyFont="1" applyFill="1" applyBorder="1" applyAlignment="1" applyProtection="1">
      <alignment vertical="center"/>
    </xf>
    <xf numFmtId="164" fontId="12" fillId="27" borderId="76" xfId="0" applyNumberFormat="1" applyFont="1" applyFill="1" applyBorder="1" applyAlignment="1" applyProtection="1">
      <alignment vertical="center"/>
    </xf>
    <xf numFmtId="0" fontId="0" fillId="27" borderId="76" xfId="0" applyFill="1" applyBorder="1" applyAlignment="1" applyProtection="1">
      <alignment vertical="center"/>
    </xf>
    <xf numFmtId="165" fontId="19" fillId="27" borderId="42" xfId="10" applyNumberFormat="1" applyFont="1" applyFill="1" applyBorder="1" applyAlignment="1" applyProtection="1">
      <alignment vertical="center"/>
    </xf>
    <xf numFmtId="165" fontId="12" fillId="27" borderId="42" xfId="10" applyNumberFormat="1" applyFont="1" applyFill="1" applyBorder="1" applyAlignment="1" applyProtection="1">
      <alignment vertical="center"/>
    </xf>
    <xf numFmtId="0" fontId="64" fillId="26" borderId="0" xfId="0" applyFont="1" applyFill="1" applyBorder="1" applyAlignment="1" applyProtection="1">
      <alignment vertical="center"/>
      <protection locked="0"/>
    </xf>
    <xf numFmtId="0" fontId="31" fillId="3" borderId="0" xfId="0" applyFont="1" applyFill="1" applyBorder="1" applyAlignment="1" applyProtection="1">
      <alignment vertical="center"/>
    </xf>
    <xf numFmtId="164" fontId="44" fillId="0" borderId="0" xfId="2" applyFont="1" applyFill="1" applyBorder="1" applyAlignment="1" applyProtection="1">
      <alignment vertical="center" wrapText="1"/>
      <protection locked="0"/>
    </xf>
    <xf numFmtId="0" fontId="66" fillId="26" borderId="3" xfId="0" applyFont="1" applyFill="1" applyBorder="1" applyAlignment="1" applyProtection="1">
      <alignment horizontal="center" vertical="center"/>
      <protection locked="0"/>
    </xf>
    <xf numFmtId="164" fontId="44" fillId="18" borderId="3" xfId="2" applyFont="1" applyFill="1" applyBorder="1" applyAlignment="1" applyProtection="1">
      <alignment horizontal="center" vertical="center" wrapText="1"/>
      <protection locked="0"/>
    </xf>
    <xf numFmtId="0" fontId="44" fillId="28" borderId="39" xfId="0" applyFont="1" applyFill="1" applyBorder="1" applyAlignment="1" applyProtection="1">
      <alignment horizontal="center" vertical="center"/>
    </xf>
    <xf numFmtId="0" fontId="44" fillId="27" borderId="40" xfId="0" applyFont="1" applyFill="1" applyBorder="1" applyAlignment="1" applyProtection="1">
      <alignment horizontal="center" vertical="center"/>
    </xf>
    <xf numFmtId="0" fontId="67" fillId="0" borderId="124" xfId="3" applyBorder="1" applyAlignment="1">
      <alignment horizontal="center"/>
    </xf>
    <xf numFmtId="0" fontId="67" fillId="0" borderId="124" xfId="3" applyFill="1" applyBorder="1" applyAlignment="1">
      <alignment horizontal="center"/>
    </xf>
    <xf numFmtId="0" fontId="67" fillId="0" borderId="125" xfId="3" applyBorder="1" applyAlignment="1">
      <alignment horizontal="center"/>
    </xf>
    <xf numFmtId="0" fontId="67" fillId="0" borderId="125" xfId="3" applyFill="1" applyBorder="1" applyAlignment="1">
      <alignment horizontal="center"/>
    </xf>
    <xf numFmtId="0" fontId="67" fillId="0" borderId="126" xfId="3" applyFill="1" applyBorder="1" applyAlignment="1">
      <alignment horizontal="center"/>
    </xf>
    <xf numFmtId="0" fontId="82" fillId="0" borderId="127" xfId="3" applyNumberFormat="1" applyFont="1" applyBorder="1" applyAlignment="1">
      <alignment horizontal="center"/>
    </xf>
    <xf numFmtId="0" fontId="82" fillId="0" borderId="127" xfId="3" applyNumberFormat="1" applyFont="1" applyFill="1" applyBorder="1" applyAlignment="1">
      <alignment horizontal="center"/>
    </xf>
    <xf numFmtId="0" fontId="82" fillId="23" borderId="127" xfId="3" applyNumberFormat="1" applyFont="1" applyFill="1" applyBorder="1" applyAlignment="1">
      <alignment horizontal="center"/>
    </xf>
    <xf numFmtId="0" fontId="67" fillId="0" borderId="126" xfId="3" applyFont="1" applyBorder="1" applyAlignment="1">
      <alignment horizontal="center"/>
    </xf>
    <xf numFmtId="4" fontId="0" fillId="0" borderId="0" xfId="0" applyNumberFormat="1"/>
    <xf numFmtId="164" fontId="0" fillId="0" borderId="0" xfId="2" applyFont="1"/>
    <xf numFmtId="0" fontId="82" fillId="0" borderId="125" xfId="3" applyNumberFormat="1" applyFont="1" applyFill="1" applyBorder="1" applyAlignment="1">
      <alignment horizontal="center"/>
    </xf>
    <xf numFmtId="164" fontId="1" fillId="0" borderId="127" xfId="2" applyFont="1" applyFill="1" applyBorder="1"/>
    <xf numFmtId="164" fontId="4" fillId="26" borderId="73" xfId="2" applyFont="1" applyFill="1" applyBorder="1" applyAlignment="1">
      <alignment horizontal="center" vertical="center"/>
    </xf>
    <xf numFmtId="0" fontId="11" fillId="29" borderId="74" xfId="0" applyNumberFormat="1" applyFont="1" applyFill="1" applyBorder="1" applyAlignment="1" applyProtection="1">
      <alignment horizontal="center" vertical="center"/>
      <protection locked="0"/>
    </xf>
    <xf numFmtId="0" fontId="4" fillId="15" borderId="1" xfId="0" applyNumberFormat="1" applyFont="1" applyFill="1" applyBorder="1" applyAlignment="1" applyProtection="1">
      <alignment horizontal="center" vertical="center" wrapText="1"/>
    </xf>
    <xf numFmtId="0" fontId="31" fillId="2" borderId="25" xfId="0" applyFont="1" applyFill="1" applyBorder="1" applyAlignment="1" applyProtection="1">
      <alignment vertical="center"/>
    </xf>
    <xf numFmtId="0" fontId="30" fillId="27" borderId="3" xfId="0" applyNumberFormat="1" applyFont="1" applyFill="1" applyBorder="1" applyAlignment="1" applyProtection="1">
      <alignment horizontal="center" vertical="center"/>
    </xf>
    <xf numFmtId="165" fontId="0" fillId="0" borderId="0" xfId="10" applyNumberFormat="1" applyFont="1" applyAlignment="1" applyProtection="1">
      <alignment vertical="center" wrapText="1"/>
    </xf>
    <xf numFmtId="166" fontId="1" fillId="0" borderId="0" xfId="10" applyNumberFormat="1" applyFont="1" applyAlignment="1" applyProtection="1">
      <alignment vertical="center" wrapText="1"/>
    </xf>
    <xf numFmtId="164" fontId="1" fillId="0" borderId="0" xfId="2" applyFont="1"/>
    <xf numFmtId="14" fontId="73" fillId="2" borderId="0" xfId="0" applyNumberFormat="1" applyFont="1" applyFill="1" applyAlignment="1" applyProtection="1">
      <alignment vertical="center"/>
    </xf>
    <xf numFmtId="14" fontId="0" fillId="0" borderId="0" xfId="0" applyNumberFormat="1"/>
    <xf numFmtId="0" fontId="1" fillId="20" borderId="0" xfId="0" applyFont="1" applyFill="1"/>
    <xf numFmtId="0" fontId="1" fillId="30" borderId="0" xfId="0" applyFont="1" applyFill="1"/>
    <xf numFmtId="0" fontId="47" fillId="2" borderId="0" xfId="0" applyFont="1" applyFill="1" applyAlignment="1" applyProtection="1">
      <alignment horizontal="center" vertical="center"/>
    </xf>
    <xf numFmtId="0" fontId="30" fillId="31" borderId="3" xfId="0" applyNumberFormat="1" applyFont="1" applyFill="1" applyBorder="1" applyAlignment="1" applyProtection="1">
      <alignment horizontal="center" vertical="center"/>
      <protection locked="0"/>
    </xf>
    <xf numFmtId="0" fontId="80" fillId="31" borderId="3" xfId="0" applyFont="1" applyFill="1" applyBorder="1" applyAlignment="1" applyProtection="1">
      <alignment horizontal="center" vertical="center"/>
      <protection locked="0"/>
    </xf>
    <xf numFmtId="3" fontId="29" fillId="31" borderId="3" xfId="1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36" borderId="3" xfId="0" applyFill="1" applyBorder="1"/>
    <xf numFmtId="0" fontId="74" fillId="2" borderId="18" xfId="0" applyFont="1" applyFill="1" applyBorder="1" applyAlignment="1" applyProtection="1">
      <alignment vertical="center"/>
    </xf>
    <xf numFmtId="164" fontId="0" fillId="0" borderId="0" xfId="2" applyFont="1" applyAlignment="1">
      <alignment vertical="center"/>
    </xf>
    <xf numFmtId="0" fontId="73" fillId="22" borderId="0" xfId="0" applyFont="1" applyFill="1" applyAlignment="1" applyProtection="1">
      <alignment vertical="center"/>
    </xf>
    <xf numFmtId="10" fontId="73" fillId="22" borderId="0" xfId="0" applyNumberFormat="1" applyFont="1" applyFill="1" applyAlignment="1" applyProtection="1">
      <alignment horizontal="center" vertical="center"/>
    </xf>
    <xf numFmtId="164" fontId="73" fillId="22" borderId="0" xfId="2" applyFont="1" applyFill="1" applyAlignment="1" applyProtection="1">
      <alignment vertical="center"/>
    </xf>
    <xf numFmtId="0" fontId="1" fillId="22" borderId="0" xfId="0" applyFont="1" applyFill="1" applyAlignment="1" applyProtection="1">
      <alignment vertical="center"/>
    </xf>
    <xf numFmtId="14" fontId="0" fillId="0" borderId="0" xfId="0" applyNumberFormat="1" applyAlignment="1" applyProtection="1">
      <alignment vertical="center" wrapText="1"/>
    </xf>
    <xf numFmtId="166" fontId="0" fillId="25" borderId="20" xfId="10" applyNumberFormat="1" applyFont="1" applyFill="1" applyBorder="1" applyAlignment="1" applyProtection="1">
      <alignment vertical="center" wrapText="1"/>
    </xf>
    <xf numFmtId="0" fontId="0" fillId="23" borderId="0" xfId="0" applyFill="1" applyAlignment="1" applyProtection="1">
      <alignment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7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4" fillId="21" borderId="8" xfId="0" applyFont="1" applyFill="1" applyBorder="1" applyAlignment="1">
      <alignment horizontal="center" vertical="center"/>
    </xf>
    <xf numFmtId="0" fontId="74" fillId="21" borderId="0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77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4" fillId="25" borderId="15" xfId="0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/>
    </xf>
    <xf numFmtId="0" fontId="53" fillId="14" borderId="0" xfId="0" applyFont="1" applyFill="1" applyBorder="1" applyAlignment="1">
      <alignment horizontal="center" vertical="center"/>
    </xf>
    <xf numFmtId="175" fontId="12" fillId="2" borderId="4" xfId="2" applyNumberFormat="1" applyFont="1" applyFill="1" applyBorder="1" applyAlignment="1" applyProtection="1">
      <alignment horizontal="center" vertical="center"/>
    </xf>
    <xf numFmtId="175" fontId="12" fillId="2" borderId="33" xfId="2" applyNumberFormat="1" applyFont="1" applyFill="1" applyBorder="1" applyAlignment="1" applyProtection="1">
      <alignment horizontal="center" vertical="center"/>
    </xf>
    <xf numFmtId="175" fontId="12" fillId="2" borderId="6" xfId="2" applyNumberFormat="1" applyFont="1" applyFill="1" applyBorder="1" applyAlignment="1" applyProtection="1">
      <alignment horizontal="center" vertical="center"/>
    </xf>
    <xf numFmtId="175" fontId="12" fillId="2" borderId="24" xfId="2" applyNumberFormat="1" applyFont="1" applyFill="1" applyBorder="1" applyAlignment="1" applyProtection="1">
      <alignment horizontal="center" vertical="center"/>
    </xf>
    <xf numFmtId="175" fontId="12" fillId="2" borderId="23" xfId="2" applyNumberFormat="1" applyFont="1" applyFill="1" applyBorder="1" applyAlignment="1" applyProtection="1">
      <alignment horizontal="center" vertical="center"/>
    </xf>
    <xf numFmtId="17" fontId="12" fillId="2" borderId="4" xfId="0" applyNumberFormat="1" applyFont="1" applyFill="1" applyBorder="1" applyAlignment="1" applyProtection="1">
      <alignment horizontal="center" vertical="center"/>
    </xf>
    <xf numFmtId="17" fontId="12" fillId="2" borderId="6" xfId="0" applyNumberFormat="1" applyFont="1" applyFill="1" applyBorder="1" applyAlignment="1" applyProtection="1">
      <alignment horizontal="center" vertical="center"/>
    </xf>
    <xf numFmtId="17" fontId="12" fillId="2" borderId="33" xfId="0" applyNumberFormat="1" applyFont="1" applyFill="1" applyBorder="1" applyAlignment="1" applyProtection="1">
      <alignment horizontal="center" vertical="center"/>
    </xf>
    <xf numFmtId="0" fontId="11" fillId="32" borderId="4" xfId="0" applyFont="1" applyFill="1" applyBorder="1" applyAlignment="1" applyProtection="1">
      <alignment horizontal="center" vertical="center"/>
    </xf>
    <xf numFmtId="0" fontId="11" fillId="32" borderId="33" xfId="0" applyFont="1" applyFill="1" applyBorder="1" applyAlignment="1" applyProtection="1">
      <alignment horizontal="center" vertical="center"/>
    </xf>
    <xf numFmtId="17" fontId="11" fillId="15" borderId="81" xfId="0" applyNumberFormat="1" applyFont="1" applyFill="1" applyBorder="1" applyAlignment="1" applyProtection="1">
      <alignment horizontal="center" vertical="center"/>
    </xf>
    <xf numFmtId="17" fontId="11" fillId="15" borderId="83" xfId="0" applyNumberFormat="1" applyFont="1" applyFill="1" applyBorder="1" applyAlignment="1" applyProtection="1">
      <alignment horizontal="center" vertical="center"/>
    </xf>
    <xf numFmtId="17" fontId="11" fillId="15" borderId="82" xfId="0" applyNumberFormat="1" applyFont="1" applyFill="1" applyBorder="1" applyAlignment="1" applyProtection="1">
      <alignment horizontal="center" vertical="center"/>
    </xf>
    <xf numFmtId="0" fontId="47" fillId="15" borderId="1" xfId="0" applyFont="1" applyFill="1" applyBorder="1" applyAlignment="1" applyProtection="1">
      <alignment horizontal="center" vertical="center" wrapText="1"/>
    </xf>
    <xf numFmtId="164" fontId="11" fillId="27" borderId="81" xfId="2" applyFont="1" applyFill="1" applyBorder="1" applyAlignment="1" applyProtection="1">
      <alignment horizontal="center" vertical="center"/>
    </xf>
    <xf numFmtId="164" fontId="11" fillId="27" borderId="83" xfId="2" applyFont="1" applyFill="1" applyBorder="1" applyAlignment="1" applyProtection="1">
      <alignment horizontal="center" vertical="center"/>
    </xf>
    <xf numFmtId="164" fontId="11" fillId="27" borderId="82" xfId="2" applyFont="1" applyFill="1" applyBorder="1" applyAlignment="1" applyProtection="1">
      <alignment horizontal="center" vertical="center"/>
    </xf>
    <xf numFmtId="164" fontId="72" fillId="15" borderId="75" xfId="2" applyFont="1" applyFill="1" applyBorder="1" applyAlignment="1" applyProtection="1">
      <alignment horizontal="center" vertical="center"/>
    </xf>
    <xf numFmtId="164" fontId="72" fillId="15" borderId="1" xfId="2" applyFont="1" applyFill="1" applyBorder="1" applyAlignment="1" applyProtection="1">
      <alignment horizontal="center" vertical="center"/>
    </xf>
    <xf numFmtId="164" fontId="72" fillId="33" borderId="74" xfId="2" applyFont="1" applyFill="1" applyBorder="1" applyAlignment="1" applyProtection="1">
      <alignment horizontal="center" vertical="center"/>
      <protection locked="0"/>
    </xf>
    <xf numFmtId="164" fontId="72" fillId="33" borderId="84" xfId="2" applyFont="1" applyFill="1" applyBorder="1" applyAlignment="1" applyProtection="1">
      <alignment horizontal="center" vertical="center"/>
      <protection locked="0"/>
    </xf>
    <xf numFmtId="164" fontId="72" fillId="33" borderId="75" xfId="2" applyFont="1" applyFill="1" applyBorder="1" applyAlignment="1" applyProtection="1">
      <alignment horizontal="center" vertical="center"/>
      <protection locked="0"/>
    </xf>
    <xf numFmtId="0" fontId="11" fillId="15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17" fontId="11" fillId="12" borderId="4" xfId="2" applyNumberFormat="1" applyFont="1" applyFill="1" applyBorder="1" applyAlignment="1" applyProtection="1">
      <alignment horizontal="center" vertical="center"/>
      <protection locked="0"/>
    </xf>
    <xf numFmtId="0" fontId="11" fillId="12" borderId="6" xfId="2" applyNumberFormat="1" applyFont="1" applyFill="1" applyBorder="1" applyAlignment="1" applyProtection="1">
      <alignment horizontal="center" vertical="center"/>
      <protection locked="0"/>
    </xf>
    <xf numFmtId="0" fontId="11" fillId="12" borderId="33" xfId="2" applyNumberFormat="1" applyFont="1" applyFill="1" applyBorder="1" applyAlignment="1" applyProtection="1">
      <alignment horizontal="center" vertical="center"/>
      <protection locked="0"/>
    </xf>
    <xf numFmtId="176" fontId="30" fillId="27" borderId="1" xfId="2" applyNumberFormat="1" applyFont="1" applyFill="1" applyBorder="1" applyAlignment="1" applyProtection="1">
      <alignment horizontal="center" vertical="center"/>
    </xf>
    <xf numFmtId="164" fontId="11" fillId="12" borderId="6" xfId="2" applyFont="1" applyFill="1" applyBorder="1" applyAlignment="1" applyProtection="1">
      <alignment horizontal="center" vertical="center"/>
      <protection locked="0"/>
    </xf>
    <xf numFmtId="175" fontId="27" fillId="2" borderId="0" xfId="2" applyNumberFormat="1" applyFont="1" applyFill="1" applyAlignment="1" applyProtection="1">
      <alignment horizontal="center" vertical="center"/>
    </xf>
    <xf numFmtId="175" fontId="27" fillId="2" borderId="21" xfId="2" applyNumberFormat="1" applyFont="1" applyFill="1" applyBorder="1" applyAlignment="1" applyProtection="1">
      <alignment horizontal="center" vertical="center"/>
    </xf>
    <xf numFmtId="0" fontId="72" fillId="32" borderId="74" xfId="0" applyFont="1" applyFill="1" applyBorder="1" applyAlignment="1" applyProtection="1">
      <alignment horizontal="center" vertical="center"/>
    </xf>
    <xf numFmtId="0" fontId="72" fillId="32" borderId="75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 wrapText="1"/>
    </xf>
    <xf numFmtId="164" fontId="11" fillId="15" borderId="74" xfId="2" applyFont="1" applyFill="1" applyBorder="1" applyAlignment="1" applyProtection="1">
      <alignment horizontal="center" vertical="center"/>
    </xf>
    <xf numFmtId="164" fontId="11" fillId="15" borderId="84" xfId="2" applyFont="1" applyFill="1" applyBorder="1" applyAlignment="1" applyProtection="1">
      <alignment horizontal="center" vertical="center"/>
    </xf>
    <xf numFmtId="164" fontId="11" fillId="15" borderId="75" xfId="2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horizontal="center" vertical="center" wrapText="1"/>
    </xf>
    <xf numFmtId="0" fontId="49" fillId="2" borderId="21" xfId="0" applyFont="1" applyFill="1" applyBorder="1" applyAlignment="1" applyProtection="1">
      <alignment horizontal="center" vertical="center" wrapText="1"/>
    </xf>
    <xf numFmtId="0" fontId="49" fillId="2" borderId="0" xfId="0" applyFont="1" applyFill="1" applyBorder="1" applyAlignment="1" applyProtection="1">
      <alignment horizontal="center" vertical="center" wrapText="1"/>
    </xf>
    <xf numFmtId="0" fontId="11" fillId="15" borderId="81" xfId="0" applyNumberFormat="1" applyFont="1" applyFill="1" applyBorder="1" applyAlignment="1" applyProtection="1">
      <alignment horizontal="center" vertical="center"/>
    </xf>
    <xf numFmtId="0" fontId="11" fillId="15" borderId="82" xfId="0" applyNumberFormat="1" applyFont="1" applyFill="1" applyBorder="1" applyAlignment="1" applyProtection="1">
      <alignment horizontal="center" vertical="center"/>
    </xf>
    <xf numFmtId="17" fontId="72" fillId="15" borderId="1" xfId="0" applyNumberFormat="1" applyFont="1" applyFill="1" applyBorder="1" applyAlignment="1" applyProtection="1">
      <alignment horizontal="center" vertical="center"/>
    </xf>
    <xf numFmtId="0" fontId="56" fillId="6" borderId="0" xfId="0" applyFont="1" applyFill="1" applyBorder="1" applyAlignment="1" applyProtection="1">
      <alignment horizontal="center" vertical="center" wrapText="1"/>
    </xf>
    <xf numFmtId="0" fontId="27" fillId="0" borderId="0" xfId="0" applyFont="1" applyAlignment="1">
      <alignment vertical="center" wrapText="1"/>
    </xf>
    <xf numFmtId="164" fontId="11" fillId="27" borderId="1" xfId="2" applyNumberFormat="1" applyFont="1" applyFill="1" applyBorder="1" applyAlignment="1" applyProtection="1">
      <alignment horizontal="center" vertical="center"/>
    </xf>
    <xf numFmtId="17" fontId="11" fillId="15" borderId="1" xfId="0" applyNumberFormat="1" applyFont="1" applyFill="1" applyBorder="1" applyAlignment="1" applyProtection="1">
      <alignment horizontal="center" vertical="center"/>
    </xf>
    <xf numFmtId="17" fontId="70" fillId="15" borderId="81" xfId="0" applyNumberFormat="1" applyFont="1" applyFill="1" applyBorder="1" applyAlignment="1" applyProtection="1">
      <alignment horizontal="center" vertical="center"/>
    </xf>
    <xf numFmtId="17" fontId="70" fillId="15" borderId="83" xfId="0" applyNumberFormat="1" applyFont="1" applyFill="1" applyBorder="1" applyAlignment="1" applyProtection="1">
      <alignment horizontal="center" vertical="center"/>
    </xf>
    <xf numFmtId="17" fontId="70" fillId="15" borderId="82" xfId="0" applyNumberFormat="1" applyFont="1" applyFill="1" applyBorder="1" applyAlignment="1" applyProtection="1">
      <alignment horizontal="center" vertical="center"/>
    </xf>
    <xf numFmtId="0" fontId="84" fillId="23" borderId="0" xfId="0" applyFont="1" applyFill="1" applyBorder="1" applyAlignment="1" applyProtection="1">
      <alignment horizontal="center" vertical="center" wrapText="1"/>
    </xf>
    <xf numFmtId="0" fontId="37" fillId="2" borderId="27" xfId="0" applyFont="1" applyFill="1" applyBorder="1" applyAlignment="1" applyProtection="1">
      <alignment horizontal="center" vertical="center"/>
    </xf>
    <xf numFmtId="0" fontId="37" fillId="2" borderId="21" xfId="0" applyFont="1" applyFill="1" applyBorder="1" applyAlignment="1" applyProtection="1">
      <alignment horizontal="center" vertical="center"/>
    </xf>
    <xf numFmtId="0" fontId="37" fillId="2" borderId="22" xfId="0" applyFont="1" applyFill="1" applyBorder="1" applyAlignment="1" applyProtection="1">
      <alignment horizontal="center" vertical="center"/>
    </xf>
    <xf numFmtId="0" fontId="37" fillId="2" borderId="24" xfId="0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 applyProtection="1">
      <alignment horizontal="center" vertical="center"/>
    </xf>
    <xf numFmtId="0" fontId="37" fillId="2" borderId="23" xfId="0" applyFont="1" applyFill="1" applyBorder="1" applyAlignment="1" applyProtection="1">
      <alignment horizontal="center" vertical="center"/>
    </xf>
    <xf numFmtId="0" fontId="37" fillId="2" borderId="18" xfId="0" applyFont="1" applyFill="1" applyBorder="1" applyAlignment="1" applyProtection="1">
      <alignment horizontal="center" vertical="center"/>
    </xf>
    <xf numFmtId="0" fontId="37" fillId="2" borderId="25" xfId="0" applyFont="1" applyFill="1" applyBorder="1" applyAlignment="1" applyProtection="1">
      <alignment horizontal="center" vertical="center"/>
    </xf>
    <xf numFmtId="0" fontId="37" fillId="2" borderId="26" xfId="0" applyFont="1" applyFill="1" applyBorder="1" applyAlignment="1" applyProtection="1">
      <alignment horizontal="center" vertical="center"/>
    </xf>
    <xf numFmtId="164" fontId="11" fillId="15" borderId="1" xfId="2" applyFont="1" applyFill="1" applyBorder="1" applyAlignment="1" applyProtection="1">
      <alignment horizontal="center" vertical="center"/>
    </xf>
    <xf numFmtId="0" fontId="35" fillId="34" borderId="0" xfId="0" applyFont="1" applyFill="1" applyBorder="1" applyAlignment="1" applyProtection="1">
      <alignment horizontal="center" vertical="center" wrapText="1"/>
    </xf>
    <xf numFmtId="164" fontId="70" fillId="27" borderId="81" xfId="2" applyFont="1" applyFill="1" applyBorder="1" applyAlignment="1" applyProtection="1">
      <alignment horizontal="center" vertical="center"/>
    </xf>
    <xf numFmtId="164" fontId="70" fillId="27" borderId="83" xfId="2" applyFont="1" applyFill="1" applyBorder="1" applyAlignment="1" applyProtection="1">
      <alignment horizontal="center" vertical="center"/>
    </xf>
    <xf numFmtId="164" fontId="70" fillId="27" borderId="82" xfId="2" applyFont="1" applyFill="1" applyBorder="1" applyAlignment="1" applyProtection="1">
      <alignment horizontal="center" vertical="center"/>
    </xf>
    <xf numFmtId="0" fontId="75" fillId="34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77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47" fillId="2" borderId="0" xfId="0" applyFont="1" applyFill="1" applyAlignment="1" applyProtection="1">
      <alignment horizontal="right" vertical="center"/>
    </xf>
    <xf numFmtId="0" fontId="4" fillId="2" borderId="105" xfId="0" applyFont="1" applyFill="1" applyBorder="1" applyAlignment="1" applyProtection="1">
      <alignment horizontal="center" vertical="center"/>
    </xf>
    <xf numFmtId="0" fontId="4" fillId="2" borderId="106" xfId="0" applyFont="1" applyFill="1" applyBorder="1" applyAlignment="1" applyProtection="1">
      <alignment horizontal="center" vertical="center"/>
    </xf>
    <xf numFmtId="0" fontId="4" fillId="2" borderId="10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08" xfId="0" applyFont="1" applyFill="1" applyBorder="1" applyAlignment="1" applyProtection="1">
      <alignment horizontal="center" vertical="center"/>
    </xf>
    <xf numFmtId="0" fontId="4" fillId="2" borderId="109" xfId="0" applyFont="1" applyFill="1" applyBorder="1" applyAlignment="1" applyProtection="1">
      <alignment horizontal="center" vertical="center"/>
    </xf>
    <xf numFmtId="0" fontId="4" fillId="2" borderId="73" xfId="0" applyFont="1" applyFill="1" applyBorder="1" applyAlignment="1" applyProtection="1">
      <alignment horizontal="center" vertical="center"/>
    </xf>
    <xf numFmtId="164" fontId="26" fillId="18" borderId="101" xfId="2" applyFont="1" applyFill="1" applyBorder="1" applyAlignment="1" applyProtection="1">
      <alignment horizontal="center" vertical="center"/>
      <protection locked="0"/>
    </xf>
    <xf numFmtId="164" fontId="26" fillId="18" borderId="102" xfId="2" applyFont="1" applyFill="1" applyBorder="1" applyAlignment="1" applyProtection="1">
      <alignment horizontal="center" vertical="center"/>
      <protection locked="0"/>
    </xf>
    <xf numFmtId="164" fontId="26" fillId="18" borderId="103" xfId="2" applyFont="1" applyFill="1" applyBorder="1" applyAlignment="1" applyProtection="1">
      <alignment horizontal="center" vertical="center"/>
      <protection locked="0"/>
    </xf>
    <xf numFmtId="164" fontId="20" fillId="12" borderId="101" xfId="2" applyFont="1" applyFill="1" applyBorder="1" applyAlignment="1" applyProtection="1">
      <alignment horizontal="center" vertical="center"/>
      <protection locked="0"/>
    </xf>
    <xf numFmtId="164" fontId="20" fillId="12" borderId="102" xfId="2" applyFont="1" applyFill="1" applyBorder="1" applyAlignment="1" applyProtection="1">
      <alignment horizontal="center" vertical="center"/>
      <protection locked="0"/>
    </xf>
    <xf numFmtId="164" fontId="20" fillId="12" borderId="103" xfId="2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33" xfId="0" applyFont="1" applyFill="1" applyBorder="1" applyAlignment="1" applyProtection="1">
      <alignment horizontal="center" vertical="center"/>
    </xf>
    <xf numFmtId="174" fontId="26" fillId="35" borderId="74" xfId="2" applyNumberFormat="1" applyFont="1" applyFill="1" applyBorder="1" applyAlignment="1" applyProtection="1">
      <alignment horizontal="center" vertical="center"/>
    </xf>
    <xf numFmtId="174" fontId="26" fillId="35" borderId="84" xfId="2" applyNumberFormat="1" applyFont="1" applyFill="1" applyBorder="1" applyAlignment="1" applyProtection="1">
      <alignment horizontal="center" vertical="center"/>
    </xf>
    <xf numFmtId="174" fontId="26" fillId="35" borderId="75" xfId="2" applyNumberFormat="1" applyFont="1" applyFill="1" applyBorder="1" applyAlignment="1" applyProtection="1">
      <alignment horizontal="center" vertical="center"/>
    </xf>
    <xf numFmtId="0" fontId="33" fillId="9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177" fontId="26" fillId="35" borderId="74" xfId="2" applyNumberFormat="1" applyFont="1" applyFill="1" applyBorder="1" applyAlignment="1" applyProtection="1">
      <alignment horizontal="center" vertical="center"/>
    </xf>
    <xf numFmtId="177" fontId="26" fillId="35" borderId="84" xfId="2" applyNumberFormat="1" applyFont="1" applyFill="1" applyBorder="1" applyAlignment="1" applyProtection="1">
      <alignment horizontal="center" vertical="center"/>
    </xf>
    <xf numFmtId="177" fontId="26" fillId="35" borderId="75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 vertical="center"/>
    </xf>
    <xf numFmtId="0" fontId="30" fillId="3" borderId="0" xfId="0" applyFont="1" applyFill="1" applyAlignment="1" applyProtection="1">
      <alignment horizontal="right" vertical="center"/>
    </xf>
    <xf numFmtId="0" fontId="86" fillId="23" borderId="0" xfId="0" applyFont="1" applyFill="1" applyBorder="1" applyAlignment="1">
      <alignment horizontal="center" vertical="center"/>
    </xf>
    <xf numFmtId="0" fontId="51" fillId="9" borderId="6" xfId="0" applyFont="1" applyFill="1" applyBorder="1" applyAlignment="1" applyProtection="1">
      <alignment horizontal="center" vertical="center"/>
    </xf>
    <xf numFmtId="0" fontId="51" fillId="9" borderId="104" xfId="0" applyFont="1" applyFill="1" applyBorder="1" applyAlignment="1" applyProtection="1">
      <alignment horizontal="center" vertical="center"/>
    </xf>
    <xf numFmtId="0" fontId="87" fillId="28" borderId="4" xfId="0" applyFont="1" applyFill="1" applyBorder="1" applyAlignment="1" applyProtection="1">
      <alignment horizontal="center" vertical="center"/>
      <protection locked="0"/>
    </xf>
    <xf numFmtId="0" fontId="87" fillId="28" borderId="6" xfId="0" applyFont="1" applyFill="1" applyBorder="1" applyAlignment="1" applyProtection="1">
      <alignment horizontal="center" vertical="center"/>
      <protection locked="0"/>
    </xf>
    <xf numFmtId="0" fontId="87" fillId="28" borderId="33" xfId="0" applyFont="1" applyFill="1" applyBorder="1" applyAlignment="1" applyProtection="1">
      <alignment horizontal="center" vertical="center"/>
      <protection locked="0"/>
    </xf>
    <xf numFmtId="164" fontId="26" fillId="35" borderId="101" xfId="2" applyFont="1" applyFill="1" applyBorder="1" applyAlignment="1" applyProtection="1">
      <alignment horizontal="center" vertical="center"/>
    </xf>
    <xf numFmtId="164" fontId="26" fillId="35" borderId="102" xfId="2" applyFont="1" applyFill="1" applyBorder="1" applyAlignment="1" applyProtection="1">
      <alignment horizontal="center" vertical="center"/>
    </xf>
    <xf numFmtId="164" fontId="26" fillId="35" borderId="103" xfId="2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center"/>
    </xf>
    <xf numFmtId="0" fontId="4" fillId="2" borderId="33" xfId="0" applyFont="1" applyFill="1" applyBorder="1" applyAlignment="1" applyProtection="1">
      <alignment horizontal="left" vertical="center"/>
    </xf>
    <xf numFmtId="164" fontId="20" fillId="35" borderId="74" xfId="2" applyFont="1" applyFill="1" applyBorder="1" applyAlignment="1" applyProtection="1">
      <alignment horizontal="center" vertical="center"/>
    </xf>
    <xf numFmtId="164" fontId="20" fillId="35" borderId="84" xfId="2" applyFont="1" applyFill="1" applyBorder="1" applyAlignment="1" applyProtection="1">
      <alignment horizontal="center" vertical="center"/>
    </xf>
    <xf numFmtId="164" fontId="20" fillId="35" borderId="75" xfId="2" applyFont="1" applyFill="1" applyBorder="1" applyAlignment="1" applyProtection="1">
      <alignment horizontal="center" vertical="center"/>
    </xf>
    <xf numFmtId="165" fontId="11" fillId="2" borderId="24" xfId="10" applyFont="1" applyFill="1" applyBorder="1" applyAlignment="1" applyProtection="1">
      <alignment horizontal="center" vertical="center"/>
    </xf>
    <xf numFmtId="165" fontId="11" fillId="2" borderId="0" xfId="10" applyFont="1" applyFill="1" applyBorder="1" applyAlignment="1" applyProtection="1">
      <alignment horizontal="center" vertical="center"/>
    </xf>
    <xf numFmtId="164" fontId="29" fillId="35" borderId="74" xfId="2" applyFont="1" applyFill="1" applyBorder="1" applyAlignment="1" applyProtection="1">
      <alignment horizontal="center" vertical="center"/>
    </xf>
    <xf numFmtId="164" fontId="29" fillId="35" borderId="84" xfId="2" applyFont="1" applyFill="1" applyBorder="1" applyAlignment="1" applyProtection="1">
      <alignment horizontal="center" vertical="center"/>
    </xf>
    <xf numFmtId="164" fontId="29" fillId="35" borderId="75" xfId="2" applyFont="1" applyFill="1" applyBorder="1" applyAlignment="1" applyProtection="1">
      <alignment horizontal="center" vertical="center"/>
    </xf>
    <xf numFmtId="0" fontId="88" fillId="0" borderId="0" xfId="0" applyFont="1" applyFill="1" applyBorder="1" applyAlignment="1" applyProtection="1">
      <alignment horizontal="right" vertical="center"/>
    </xf>
    <xf numFmtId="4" fontId="81" fillId="27" borderId="128" xfId="0" applyNumberFormat="1" applyFont="1" applyFill="1" applyBorder="1" applyAlignment="1" applyProtection="1">
      <alignment horizontal="left" vertical="center"/>
    </xf>
    <xf numFmtId="0" fontId="69" fillId="27" borderId="129" xfId="0" applyFont="1" applyFill="1" applyBorder="1" applyAlignment="1">
      <alignment vertical="center"/>
    </xf>
    <xf numFmtId="0" fontId="13" fillId="2" borderId="21" xfId="0" applyFont="1" applyFill="1" applyBorder="1" applyAlignment="1" applyProtection="1">
      <alignment horizontal="center" vertical="center" wrapText="1"/>
    </xf>
    <xf numFmtId="0" fontId="13" fillId="2" borderId="99" xfId="0" applyFont="1" applyFill="1" applyBorder="1" applyAlignment="1" applyProtection="1">
      <alignment horizontal="center" vertical="center" wrapText="1"/>
    </xf>
    <xf numFmtId="0" fontId="76" fillId="27" borderId="3" xfId="0" applyFont="1" applyFill="1" applyBorder="1" applyAlignment="1" applyProtection="1">
      <alignment horizontal="center" vertical="center"/>
    </xf>
    <xf numFmtId="0" fontId="88" fillId="23" borderId="0" xfId="0" applyFont="1" applyFill="1" applyAlignment="1" applyProtection="1">
      <alignment horizontal="center" vertical="center" wrapText="1"/>
    </xf>
    <xf numFmtId="0" fontId="74" fillId="23" borderId="0" xfId="0" applyFont="1" applyFill="1" applyAlignment="1">
      <alignment vertical="center" wrapText="1"/>
    </xf>
    <xf numFmtId="0" fontId="47" fillId="2" borderId="0" xfId="0" applyFont="1" applyFill="1" applyAlignment="1" applyProtection="1">
      <alignment horizontal="left" vertical="center"/>
    </xf>
    <xf numFmtId="164" fontId="29" fillId="12" borderId="101" xfId="2" applyFont="1" applyFill="1" applyBorder="1" applyAlignment="1" applyProtection="1">
      <alignment horizontal="center" vertical="center"/>
      <protection locked="0"/>
    </xf>
    <xf numFmtId="164" fontId="29" fillId="12" borderId="102" xfId="2" applyFont="1" applyFill="1" applyBorder="1" applyAlignment="1" applyProtection="1">
      <alignment horizontal="center" vertical="center"/>
      <protection locked="0"/>
    </xf>
    <xf numFmtId="164" fontId="29" fillId="12" borderId="103" xfId="2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Border="1" applyAlignment="1" applyProtection="1">
      <alignment horizontal="center" vertical="center" wrapText="1"/>
    </xf>
    <xf numFmtId="0" fontId="47" fillId="2" borderId="0" xfId="0" applyFont="1" applyFill="1" applyAlignment="1" applyProtection="1">
      <alignment horizontal="center" vertical="center"/>
    </xf>
    <xf numFmtId="0" fontId="47" fillId="2" borderId="0" xfId="0" applyFont="1" applyFill="1" applyBorder="1" applyAlignment="1" applyProtection="1">
      <alignment horizontal="center" vertical="center"/>
    </xf>
    <xf numFmtId="0" fontId="80" fillId="23" borderId="110" xfId="0" applyFont="1" applyFill="1" applyBorder="1" applyAlignment="1" applyProtection="1">
      <alignment horizontal="center" vertical="center"/>
    </xf>
    <xf numFmtId="0" fontId="80" fillId="23" borderId="111" xfId="0" applyFont="1" applyFill="1" applyBorder="1" applyAlignment="1" applyProtection="1">
      <alignment horizontal="center" vertical="center"/>
    </xf>
    <xf numFmtId="0" fontId="80" fillId="23" borderId="72" xfId="0" applyFont="1" applyFill="1" applyBorder="1" applyAlignment="1" applyProtection="1">
      <alignment horizontal="center" vertical="center"/>
    </xf>
    <xf numFmtId="0" fontId="27" fillId="12" borderId="101" xfId="0" applyFont="1" applyFill="1" applyBorder="1" applyAlignment="1" applyProtection="1">
      <alignment horizontal="center" vertical="center"/>
      <protection locked="0"/>
    </xf>
    <xf numFmtId="0" fontId="27" fillId="12" borderId="102" xfId="0" applyFont="1" applyFill="1" applyBorder="1" applyAlignment="1" applyProtection="1">
      <alignment horizontal="center" vertical="center"/>
      <protection locked="0"/>
    </xf>
    <xf numFmtId="0" fontId="27" fillId="12" borderId="103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164" fontId="85" fillId="0" borderId="0" xfId="2" applyFont="1" applyFill="1" applyBorder="1" applyAlignment="1" applyProtection="1">
      <alignment horizontal="center" vertical="center"/>
      <protection locked="0"/>
    </xf>
    <xf numFmtId="0" fontId="30" fillId="25" borderId="27" xfId="0" applyFont="1" applyFill="1" applyBorder="1" applyAlignment="1" applyProtection="1">
      <alignment horizontal="center" vertical="center" textRotation="255" wrapText="1"/>
    </xf>
    <xf numFmtId="0" fontId="30" fillId="25" borderId="22" xfId="0" applyFont="1" applyFill="1" applyBorder="1" applyAlignment="1" applyProtection="1">
      <alignment horizontal="center" vertical="center" textRotation="255" wrapText="1"/>
    </xf>
    <xf numFmtId="0" fontId="30" fillId="25" borderId="24" xfId="0" applyFont="1" applyFill="1" applyBorder="1" applyAlignment="1" applyProtection="1">
      <alignment horizontal="center" vertical="center" textRotation="255" wrapText="1"/>
    </xf>
    <xf numFmtId="0" fontId="30" fillId="25" borderId="23" xfId="0" applyFont="1" applyFill="1" applyBorder="1" applyAlignment="1" applyProtection="1">
      <alignment horizontal="center" vertical="center" textRotation="255" wrapText="1"/>
    </xf>
    <xf numFmtId="0" fontId="30" fillId="25" borderId="18" xfId="0" applyFont="1" applyFill="1" applyBorder="1" applyAlignment="1" applyProtection="1">
      <alignment horizontal="center" vertical="center" textRotation="255" wrapText="1"/>
    </xf>
    <xf numFmtId="0" fontId="30" fillId="25" borderId="26" xfId="0" applyFont="1" applyFill="1" applyBorder="1" applyAlignment="1" applyProtection="1">
      <alignment horizontal="center" vertical="center" textRotation="255" wrapText="1"/>
    </xf>
    <xf numFmtId="0" fontId="0" fillId="15" borderId="1" xfId="0" applyFill="1" applyBorder="1" applyAlignment="1" applyProtection="1">
      <alignment horizontal="center" vertical="center"/>
    </xf>
    <xf numFmtId="17" fontId="11" fillId="2" borderId="0" xfId="0" applyNumberFormat="1" applyFont="1" applyFill="1" applyBorder="1" applyAlignment="1" applyProtection="1">
      <alignment horizontal="center" vertical="center"/>
    </xf>
    <xf numFmtId="164" fontId="11" fillId="15" borderId="4" xfId="2" applyFont="1" applyFill="1" applyBorder="1" applyAlignment="1" applyProtection="1">
      <alignment horizontal="center" vertical="center"/>
    </xf>
    <xf numFmtId="164" fontId="11" fillId="15" borderId="6" xfId="2" applyFont="1" applyFill="1" applyBorder="1" applyAlignment="1" applyProtection="1">
      <alignment horizontal="center" vertical="center"/>
    </xf>
    <xf numFmtId="164" fontId="11" fillId="15" borderId="33" xfId="2" applyFont="1" applyFill="1" applyBorder="1" applyAlignment="1" applyProtection="1">
      <alignment horizontal="center" vertical="center"/>
    </xf>
    <xf numFmtId="164" fontId="11" fillId="15" borderId="91" xfId="2" applyFont="1" applyFill="1" applyBorder="1" applyAlignment="1" applyProtection="1">
      <alignment horizontal="center" vertical="center"/>
    </xf>
    <xf numFmtId="164" fontId="11" fillId="15" borderId="92" xfId="2" applyFont="1" applyFill="1" applyBorder="1" applyAlignment="1" applyProtection="1">
      <alignment horizontal="center" vertical="center"/>
    </xf>
    <xf numFmtId="0" fontId="13" fillId="2" borderId="98" xfId="0" applyFont="1" applyFill="1" applyBorder="1" applyAlignment="1" applyProtection="1">
      <alignment horizontal="center" vertical="center" wrapText="1"/>
    </xf>
    <xf numFmtId="0" fontId="13" fillId="2" borderId="100" xfId="0" applyFont="1" applyFill="1" applyBorder="1" applyAlignment="1" applyProtection="1">
      <alignment horizontal="center" vertical="center" wrapText="1"/>
    </xf>
    <xf numFmtId="164" fontId="72" fillId="15" borderId="91" xfId="2" applyFont="1" applyFill="1" applyBorder="1" applyAlignment="1" applyProtection="1">
      <alignment horizontal="center" vertical="center"/>
    </xf>
    <xf numFmtId="164" fontId="72" fillId="15" borderId="84" xfId="2" applyFont="1" applyFill="1" applyBorder="1" applyAlignment="1" applyProtection="1">
      <alignment horizontal="center" vertical="center"/>
    </xf>
    <xf numFmtId="164" fontId="72" fillId="15" borderId="92" xfId="2" applyFont="1" applyFill="1" applyBorder="1" applyAlignment="1" applyProtection="1">
      <alignment horizontal="center" vertical="center"/>
    </xf>
    <xf numFmtId="0" fontId="58" fillId="34" borderId="0" xfId="0" applyFont="1" applyFill="1" applyBorder="1" applyAlignment="1" applyProtection="1">
      <alignment horizontal="center" vertical="center" wrapText="1"/>
    </xf>
    <xf numFmtId="0" fontId="78" fillId="34" borderId="85" xfId="0" applyFont="1" applyFill="1" applyBorder="1" applyAlignment="1" applyProtection="1">
      <alignment horizontal="center" vertical="center" wrapText="1"/>
    </xf>
    <xf numFmtId="0" fontId="78" fillId="34" borderId="0" xfId="0" applyFont="1" applyFill="1" applyBorder="1" applyAlignment="1" applyProtection="1">
      <alignment horizontal="center" vertical="center" wrapText="1"/>
    </xf>
    <xf numFmtId="0" fontId="42" fillId="2" borderId="27" xfId="0" applyFont="1" applyFill="1" applyBorder="1" applyAlignment="1" applyProtection="1">
      <alignment horizontal="center" vertical="center"/>
    </xf>
    <xf numFmtId="0" fontId="42" fillId="2" borderId="21" xfId="0" applyFont="1" applyFill="1" applyBorder="1" applyAlignment="1" applyProtection="1">
      <alignment horizontal="center" vertical="center"/>
    </xf>
    <xf numFmtId="0" fontId="42" fillId="2" borderId="22" xfId="0" applyFont="1" applyFill="1" applyBorder="1" applyAlignment="1" applyProtection="1">
      <alignment horizontal="center" vertical="center"/>
    </xf>
    <xf numFmtId="0" fontId="42" fillId="2" borderId="24" xfId="0" applyFont="1" applyFill="1" applyBorder="1" applyAlignment="1" applyProtection="1">
      <alignment horizontal="center" vertical="center"/>
    </xf>
    <xf numFmtId="0" fontId="42" fillId="2" borderId="0" xfId="0" applyFont="1" applyFill="1" applyBorder="1" applyAlignment="1" applyProtection="1">
      <alignment horizontal="center" vertical="center"/>
    </xf>
    <xf numFmtId="0" fontId="42" fillId="2" borderId="23" xfId="0" applyFont="1" applyFill="1" applyBorder="1" applyAlignment="1" applyProtection="1">
      <alignment horizontal="center" vertical="center"/>
    </xf>
    <xf numFmtId="0" fontId="42" fillId="2" borderId="18" xfId="0" applyFont="1" applyFill="1" applyBorder="1" applyAlignment="1" applyProtection="1">
      <alignment horizontal="center" vertical="center"/>
    </xf>
    <xf numFmtId="0" fontId="42" fillId="2" borderId="25" xfId="0" applyFont="1" applyFill="1" applyBorder="1" applyAlignment="1" applyProtection="1">
      <alignment horizontal="center" vertical="center"/>
    </xf>
    <xf numFmtId="0" fontId="42" fillId="2" borderId="26" xfId="0" applyFont="1" applyFill="1" applyBorder="1" applyAlignment="1" applyProtection="1">
      <alignment horizontal="center" vertical="center"/>
    </xf>
    <xf numFmtId="0" fontId="42" fillId="2" borderId="27" xfId="0" applyFont="1" applyFill="1" applyBorder="1" applyAlignment="1" applyProtection="1">
      <alignment horizontal="center" vertical="center" wrapText="1"/>
    </xf>
    <xf numFmtId="0" fontId="42" fillId="2" borderId="21" xfId="0" applyFont="1" applyFill="1" applyBorder="1" applyAlignment="1" applyProtection="1">
      <alignment horizontal="center" vertical="center" wrapText="1"/>
    </xf>
    <xf numFmtId="0" fontId="42" fillId="2" borderId="22" xfId="0" applyFont="1" applyFill="1" applyBorder="1" applyAlignment="1" applyProtection="1">
      <alignment horizontal="center" vertical="center" wrapText="1"/>
    </xf>
    <xf numFmtId="0" fontId="42" fillId="2" borderId="24" xfId="0" applyFont="1" applyFill="1" applyBorder="1" applyAlignment="1" applyProtection="1">
      <alignment horizontal="center" vertical="center" wrapText="1"/>
    </xf>
    <xf numFmtId="0" fontId="42" fillId="2" borderId="0" xfId="0" applyFont="1" applyFill="1" applyBorder="1" applyAlignment="1" applyProtection="1">
      <alignment horizontal="center" vertical="center" wrapText="1"/>
    </xf>
    <xf numFmtId="0" fontId="42" fillId="2" borderId="23" xfId="0" applyFont="1" applyFill="1" applyBorder="1" applyAlignment="1" applyProtection="1">
      <alignment horizontal="center" vertical="center" wrapText="1"/>
    </xf>
    <xf numFmtId="0" fontId="42" fillId="2" borderId="18" xfId="0" applyFont="1" applyFill="1" applyBorder="1" applyAlignment="1" applyProtection="1">
      <alignment horizontal="center" vertical="center" wrapText="1"/>
    </xf>
    <xf numFmtId="0" fontId="42" fillId="2" borderId="25" xfId="0" applyFont="1" applyFill="1" applyBorder="1" applyAlignment="1" applyProtection="1">
      <alignment horizontal="center" vertical="center" wrapText="1"/>
    </xf>
    <xf numFmtId="0" fontId="42" fillId="2" borderId="26" xfId="0" applyFont="1" applyFill="1" applyBorder="1" applyAlignment="1" applyProtection="1">
      <alignment horizontal="center" vertical="center" wrapText="1"/>
    </xf>
    <xf numFmtId="0" fontId="36" fillId="15" borderId="1" xfId="0" applyFont="1" applyFill="1" applyBorder="1" applyAlignment="1" applyProtection="1">
      <alignment horizontal="center" vertical="center" wrapText="1"/>
    </xf>
    <xf numFmtId="178" fontId="37" fillId="15" borderId="1" xfId="0" applyNumberFormat="1" applyFont="1" applyFill="1" applyBorder="1" applyAlignment="1" applyProtection="1">
      <alignment horizontal="center" vertical="center"/>
    </xf>
    <xf numFmtId="43" fontId="37" fillId="2" borderId="24" xfId="0" applyNumberFormat="1" applyFont="1" applyFill="1" applyBorder="1" applyAlignment="1" applyProtection="1">
      <alignment horizontal="center" vertical="center"/>
    </xf>
    <xf numFmtId="43" fontId="37" fillId="2" borderId="0" xfId="0" applyNumberFormat="1" applyFont="1" applyFill="1" applyBorder="1" applyAlignment="1" applyProtection="1">
      <alignment horizontal="center" vertical="center"/>
    </xf>
    <xf numFmtId="43" fontId="37" fillId="2" borderId="23" xfId="0" applyNumberFormat="1" applyFont="1" applyFill="1" applyBorder="1" applyAlignment="1" applyProtection="1">
      <alignment horizontal="center" vertical="center"/>
    </xf>
    <xf numFmtId="43" fontId="37" fillId="2" borderId="18" xfId="0" applyNumberFormat="1" applyFont="1" applyFill="1" applyBorder="1" applyAlignment="1" applyProtection="1">
      <alignment horizontal="center" vertical="center"/>
    </xf>
    <xf numFmtId="43" fontId="37" fillId="2" borderId="25" xfId="0" applyNumberFormat="1" applyFont="1" applyFill="1" applyBorder="1" applyAlignment="1" applyProtection="1">
      <alignment horizontal="center" vertical="center"/>
    </xf>
    <xf numFmtId="43" fontId="37" fillId="2" borderId="26" xfId="0" applyNumberFormat="1" applyFont="1" applyFill="1" applyBorder="1" applyAlignment="1" applyProtection="1">
      <alignment horizontal="center" vertical="center"/>
    </xf>
    <xf numFmtId="0" fontId="37" fillId="15" borderId="74" xfId="0" applyFont="1" applyFill="1" applyBorder="1" applyAlignment="1" applyProtection="1">
      <alignment horizontal="center" vertical="center" wrapText="1"/>
    </xf>
    <xf numFmtId="0" fontId="37" fillId="15" borderId="84" xfId="0" applyFont="1" applyFill="1" applyBorder="1" applyAlignment="1" applyProtection="1">
      <alignment horizontal="center" vertical="center" wrapText="1"/>
    </xf>
    <xf numFmtId="0" fontId="37" fillId="15" borderId="75" xfId="0" applyFont="1" applyFill="1" applyBorder="1" applyAlignment="1" applyProtection="1">
      <alignment horizontal="center" vertical="center" wrapText="1"/>
    </xf>
    <xf numFmtId="7" fontId="37" fillId="2" borderId="3" xfId="0" applyNumberFormat="1" applyFont="1" applyFill="1" applyBorder="1" applyAlignment="1" applyProtection="1">
      <alignment horizontal="center" vertical="center"/>
    </xf>
    <xf numFmtId="0" fontId="36" fillId="15" borderId="93" xfId="0" applyFont="1" applyFill="1" applyBorder="1" applyAlignment="1" applyProtection="1">
      <alignment horizontal="center" vertical="center" wrapText="1"/>
    </xf>
    <xf numFmtId="0" fontId="36" fillId="15" borderId="88" xfId="0" applyFont="1" applyFill="1" applyBorder="1" applyAlignment="1" applyProtection="1">
      <alignment horizontal="center" vertical="center" wrapText="1"/>
    </xf>
    <xf numFmtId="0" fontId="36" fillId="15" borderId="89" xfId="0" applyFont="1" applyFill="1" applyBorder="1" applyAlignment="1" applyProtection="1">
      <alignment horizontal="center" vertical="center" wrapText="1"/>
    </xf>
    <xf numFmtId="0" fontId="36" fillId="15" borderId="85" xfId="0" applyFont="1" applyFill="1" applyBorder="1" applyAlignment="1" applyProtection="1">
      <alignment horizontal="center" vertical="center" wrapText="1"/>
    </xf>
    <xf numFmtId="0" fontId="36" fillId="15" borderId="0" xfId="0" applyFont="1" applyFill="1" applyBorder="1" applyAlignment="1" applyProtection="1">
      <alignment horizontal="center" vertical="center" wrapText="1"/>
    </xf>
    <xf numFmtId="0" fontId="36" fillId="15" borderId="48" xfId="0" applyFont="1" applyFill="1" applyBorder="1" applyAlignment="1" applyProtection="1">
      <alignment horizontal="center" vertical="center" wrapText="1"/>
    </xf>
    <xf numFmtId="0" fontId="36" fillId="15" borderId="69" xfId="0" applyFont="1" applyFill="1" applyBorder="1" applyAlignment="1" applyProtection="1">
      <alignment horizontal="center" vertical="center" wrapText="1"/>
    </xf>
    <xf numFmtId="0" fontId="36" fillId="15" borderId="90" xfId="0" applyFont="1" applyFill="1" applyBorder="1" applyAlignment="1" applyProtection="1">
      <alignment horizontal="center" vertical="center" wrapText="1"/>
    </xf>
    <xf numFmtId="0" fontId="36" fillId="15" borderId="71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36" fillId="15" borderId="74" xfId="0" applyFont="1" applyFill="1" applyBorder="1" applyAlignment="1" applyProtection="1">
      <alignment horizontal="center" vertical="center" wrapText="1"/>
    </xf>
    <xf numFmtId="0" fontId="36" fillId="15" borderId="84" xfId="0" applyFont="1" applyFill="1" applyBorder="1" applyAlignment="1" applyProtection="1">
      <alignment horizontal="center" vertical="center" wrapText="1"/>
    </xf>
    <xf numFmtId="0" fontId="36" fillId="15" borderId="75" xfId="0" applyFont="1" applyFill="1" applyBorder="1" applyAlignment="1" applyProtection="1">
      <alignment horizontal="center" vertical="center" wrapText="1"/>
    </xf>
    <xf numFmtId="7" fontId="37" fillId="15" borderId="93" xfId="0" applyNumberFormat="1" applyFont="1" applyFill="1" applyBorder="1" applyAlignment="1" applyProtection="1">
      <alignment horizontal="center" vertical="center"/>
    </xf>
    <xf numFmtId="7" fontId="37" fillId="15" borderId="88" xfId="0" applyNumberFormat="1" applyFont="1" applyFill="1" applyBorder="1" applyAlignment="1" applyProtection="1">
      <alignment horizontal="center" vertical="center"/>
    </xf>
    <xf numFmtId="7" fontId="37" fillId="15" borderId="89" xfId="0" applyNumberFormat="1" applyFont="1" applyFill="1" applyBorder="1" applyAlignment="1" applyProtection="1">
      <alignment horizontal="center" vertical="center"/>
    </xf>
    <xf numFmtId="7" fontId="37" fillId="15" borderId="69" xfId="0" applyNumberFormat="1" applyFont="1" applyFill="1" applyBorder="1" applyAlignment="1" applyProtection="1">
      <alignment horizontal="center" vertical="center"/>
    </xf>
    <xf numFmtId="7" fontId="37" fillId="15" borderId="90" xfId="0" applyNumberFormat="1" applyFont="1" applyFill="1" applyBorder="1" applyAlignment="1" applyProtection="1">
      <alignment horizontal="center" vertical="center"/>
    </xf>
    <xf numFmtId="7" fontId="37" fillId="15" borderId="71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4" fillId="5" borderId="27" xfId="0" applyFont="1" applyFill="1" applyBorder="1" applyAlignment="1" applyProtection="1">
      <alignment horizontal="center" vertical="center"/>
    </xf>
    <xf numFmtId="0" fontId="4" fillId="5" borderId="21" xfId="0" applyFont="1" applyFill="1" applyBorder="1" applyAlignment="1" applyProtection="1">
      <alignment horizontal="center" vertical="center"/>
    </xf>
    <xf numFmtId="0" fontId="4" fillId="5" borderId="22" xfId="0" applyFont="1" applyFill="1" applyBorder="1" applyAlignment="1" applyProtection="1">
      <alignment horizontal="center" vertical="center"/>
    </xf>
    <xf numFmtId="164" fontId="11" fillId="15" borderId="94" xfId="2" applyFont="1" applyFill="1" applyBorder="1" applyAlignment="1" applyProtection="1">
      <alignment horizontal="center" vertical="center"/>
    </xf>
    <xf numFmtId="164" fontId="11" fillId="15" borderId="95" xfId="2" applyFont="1" applyFill="1" applyBorder="1" applyAlignment="1" applyProtection="1">
      <alignment horizontal="center" vertical="center"/>
    </xf>
    <xf numFmtId="164" fontId="11" fillId="15" borderId="96" xfId="2" applyFont="1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164" fontId="11" fillId="15" borderId="74" xfId="2" applyFont="1" applyFill="1" applyBorder="1" applyAlignment="1" applyProtection="1">
      <alignment horizontal="center" vertical="center" wrapText="1"/>
    </xf>
    <xf numFmtId="164" fontId="11" fillId="15" borderId="75" xfId="2" applyFont="1" applyFill="1" applyBorder="1" applyAlignment="1" applyProtection="1">
      <alignment horizontal="center" vertical="center" wrapText="1"/>
    </xf>
    <xf numFmtId="0" fontId="58" fillId="6" borderId="0" xfId="0" applyFont="1" applyFill="1" applyBorder="1" applyAlignment="1" applyProtection="1">
      <alignment horizontal="center" vertical="center" wrapText="1"/>
    </xf>
    <xf numFmtId="0" fontId="58" fillId="6" borderId="97" xfId="0" applyFont="1" applyFill="1" applyBorder="1" applyAlignment="1" applyProtection="1">
      <alignment horizontal="center" vertical="center" wrapText="1"/>
    </xf>
    <xf numFmtId="0" fontId="58" fillId="6" borderId="95" xfId="0" applyFont="1" applyFill="1" applyBorder="1" applyAlignment="1" applyProtection="1">
      <alignment horizontal="center" vertical="center" wrapText="1"/>
    </xf>
    <xf numFmtId="0" fontId="48" fillId="15" borderId="74" xfId="0" applyFont="1" applyFill="1" applyBorder="1" applyAlignment="1" applyProtection="1">
      <alignment horizontal="center" vertical="center" wrapText="1"/>
    </xf>
    <xf numFmtId="0" fontId="48" fillId="15" borderId="75" xfId="0" applyFont="1" applyFill="1" applyBorder="1" applyAlignment="1" applyProtection="1">
      <alignment horizontal="center" vertical="center" wrapText="1"/>
    </xf>
    <xf numFmtId="0" fontId="37" fillId="2" borderId="24" xfId="0" applyFont="1" applyFill="1" applyBorder="1" applyAlignment="1" applyProtection="1">
      <alignment horizontal="center" vertical="center" wrapText="1"/>
    </xf>
    <xf numFmtId="164" fontId="11" fillId="27" borderId="1" xfId="2" applyFont="1" applyFill="1" applyBorder="1" applyAlignment="1" applyProtection="1">
      <alignment horizontal="center" vertical="center"/>
    </xf>
    <xf numFmtId="0" fontId="0" fillId="2" borderId="90" xfId="0" applyFill="1" applyBorder="1" applyAlignment="1" applyProtection="1">
      <alignment horizontal="center" vertical="center"/>
    </xf>
    <xf numFmtId="0" fontId="0" fillId="2" borderId="84" xfId="0" applyFill="1" applyBorder="1" applyAlignment="1" applyProtection="1">
      <alignment horizontal="center" vertical="center"/>
    </xf>
    <xf numFmtId="0" fontId="11" fillId="15" borderId="93" xfId="0" applyNumberFormat="1" applyFont="1" applyFill="1" applyBorder="1" applyAlignment="1" applyProtection="1">
      <alignment horizontal="center" vertical="center"/>
    </xf>
    <xf numFmtId="0" fontId="11" fillId="15" borderId="89" xfId="0" applyNumberFormat="1" applyFont="1" applyFill="1" applyBorder="1" applyAlignment="1" applyProtection="1">
      <alignment horizontal="center" vertical="center"/>
    </xf>
    <xf numFmtId="0" fontId="11" fillId="15" borderId="69" xfId="0" applyNumberFormat="1" applyFont="1" applyFill="1" applyBorder="1" applyAlignment="1" applyProtection="1">
      <alignment horizontal="center" vertical="center"/>
    </xf>
    <xf numFmtId="0" fontId="11" fillId="15" borderId="71" xfId="0" applyNumberFormat="1" applyFont="1" applyFill="1" applyBorder="1" applyAlignment="1" applyProtection="1">
      <alignment horizontal="center" vertical="center"/>
    </xf>
    <xf numFmtId="0" fontId="35" fillId="34" borderId="85" xfId="0" applyFont="1" applyFill="1" applyBorder="1" applyAlignment="1" applyProtection="1">
      <alignment horizontal="center" vertical="center" wrapText="1"/>
    </xf>
    <xf numFmtId="164" fontId="11" fillId="27" borderId="86" xfId="2" applyFont="1" applyFill="1" applyBorder="1" applyAlignment="1" applyProtection="1">
      <alignment horizontal="center" vertical="center"/>
    </xf>
    <xf numFmtId="0" fontId="4" fillId="6" borderId="85" xfId="0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>
      <alignment horizontal="center" vertical="center" wrapText="1"/>
    </xf>
    <xf numFmtId="0" fontId="72" fillId="15" borderId="75" xfId="0" applyNumberFormat="1" applyFont="1" applyFill="1" applyBorder="1" applyAlignment="1" applyProtection="1">
      <alignment horizontal="center" vertical="center"/>
    </xf>
    <xf numFmtId="0" fontId="72" fillId="15" borderId="1" xfId="0" applyNumberFormat="1" applyFont="1" applyFill="1" applyBorder="1" applyAlignment="1" applyProtection="1">
      <alignment horizontal="center" vertical="center"/>
    </xf>
    <xf numFmtId="0" fontId="72" fillId="15" borderId="1" xfId="0" applyNumberFormat="1" applyFont="1" applyFill="1" applyBorder="1" applyAlignment="1" applyProtection="1">
      <alignment horizontal="center" vertical="center"/>
      <protection locked="0"/>
    </xf>
    <xf numFmtId="0" fontId="31" fillId="2" borderId="25" xfId="0" applyFont="1" applyFill="1" applyBorder="1" applyAlignment="1" applyProtection="1">
      <alignment horizontal="center" vertical="center"/>
    </xf>
    <xf numFmtId="7" fontId="37" fillId="2" borderId="0" xfId="0" applyNumberFormat="1" applyFont="1" applyFill="1" applyAlignment="1" applyProtection="1">
      <alignment horizontal="center" vertical="center"/>
    </xf>
    <xf numFmtId="176" fontId="30" fillId="15" borderId="1" xfId="2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178" fontId="37" fillId="2" borderId="0" xfId="0" applyNumberFormat="1" applyFont="1" applyFill="1" applyAlignment="1" applyProtection="1">
      <alignment horizontal="center" vertical="center"/>
    </xf>
    <xf numFmtId="0" fontId="63" fillId="9" borderId="0" xfId="0" applyFont="1" applyFill="1" applyAlignment="1" applyProtection="1">
      <alignment horizontal="center" vertical="center"/>
    </xf>
    <xf numFmtId="176" fontId="30" fillId="27" borderId="1" xfId="0" applyNumberFormat="1" applyFont="1" applyFill="1" applyBorder="1" applyAlignment="1" applyProtection="1">
      <alignment horizontal="center" vertical="center"/>
    </xf>
    <xf numFmtId="176" fontId="30" fillId="15" borderId="74" xfId="2" applyNumberFormat="1" applyFont="1" applyFill="1" applyBorder="1" applyAlignment="1" applyProtection="1">
      <alignment horizontal="center" vertical="center"/>
    </xf>
    <xf numFmtId="176" fontId="30" fillId="15" borderId="84" xfId="2" applyNumberFormat="1" applyFont="1" applyFill="1" applyBorder="1" applyAlignment="1" applyProtection="1">
      <alignment horizontal="center" vertical="center"/>
    </xf>
    <xf numFmtId="176" fontId="30" fillId="15" borderId="75" xfId="2" applyNumberFormat="1" applyFont="1" applyFill="1" applyBorder="1" applyAlignment="1" applyProtection="1">
      <alignment horizontal="center" vertical="center"/>
    </xf>
    <xf numFmtId="7" fontId="37" fillId="15" borderId="74" xfId="0" applyNumberFormat="1" applyFont="1" applyFill="1" applyBorder="1" applyAlignment="1" applyProtection="1">
      <alignment horizontal="center" vertical="center"/>
    </xf>
    <xf numFmtId="7" fontId="37" fillId="15" borderId="84" xfId="0" applyNumberFormat="1" applyFont="1" applyFill="1" applyBorder="1" applyAlignment="1" applyProtection="1">
      <alignment horizontal="center" vertical="center"/>
    </xf>
    <xf numFmtId="7" fontId="37" fillId="15" borderId="75" xfId="0" applyNumberFormat="1" applyFont="1" applyFill="1" applyBorder="1" applyAlignment="1" applyProtection="1">
      <alignment horizontal="center" vertical="center"/>
    </xf>
    <xf numFmtId="0" fontId="34" fillId="15" borderId="74" xfId="0" applyFont="1" applyFill="1" applyBorder="1" applyAlignment="1" applyProtection="1">
      <alignment horizontal="center" vertical="center" wrapText="1"/>
    </xf>
    <xf numFmtId="0" fontId="34" fillId="15" borderId="84" xfId="0" applyFont="1" applyFill="1" applyBorder="1" applyAlignment="1" applyProtection="1">
      <alignment horizontal="center" vertical="center" wrapText="1"/>
    </xf>
    <xf numFmtId="0" fontId="34" fillId="15" borderId="75" xfId="0" applyFont="1" applyFill="1" applyBorder="1" applyAlignment="1" applyProtection="1">
      <alignment horizontal="center" vertical="center" wrapText="1"/>
    </xf>
    <xf numFmtId="176" fontId="44" fillId="15" borderId="1" xfId="2" applyNumberFormat="1" applyFont="1" applyFill="1" applyBorder="1" applyAlignment="1" applyProtection="1">
      <alignment horizontal="center" vertical="center"/>
    </xf>
    <xf numFmtId="0" fontId="34" fillId="15" borderId="1" xfId="0" applyFont="1" applyFill="1" applyBorder="1" applyAlignment="1" applyProtection="1">
      <alignment horizontal="center" vertical="center" wrapText="1"/>
    </xf>
    <xf numFmtId="178" fontId="37" fillId="27" borderId="1" xfId="0" applyNumberFormat="1" applyFont="1" applyFill="1" applyBorder="1" applyAlignment="1" applyProtection="1">
      <alignment horizontal="center" vertical="center"/>
    </xf>
    <xf numFmtId="0" fontId="30" fillId="15" borderId="86" xfId="2" applyNumberFormat="1" applyFont="1" applyFill="1" applyBorder="1" applyAlignment="1" applyProtection="1">
      <alignment horizontal="center" vertical="center"/>
    </xf>
    <xf numFmtId="0" fontId="30" fillId="15" borderId="87" xfId="2" applyNumberFormat="1" applyFont="1" applyFill="1" applyBorder="1" applyAlignment="1" applyProtection="1">
      <alignment horizontal="center" vertical="center"/>
    </xf>
    <xf numFmtId="17" fontId="30" fillId="15" borderId="88" xfId="2" applyNumberFormat="1" applyFont="1" applyFill="1" applyBorder="1" applyAlignment="1" applyProtection="1">
      <alignment horizontal="center" vertical="center"/>
    </xf>
    <xf numFmtId="17" fontId="30" fillId="15" borderId="89" xfId="2" applyNumberFormat="1" applyFont="1" applyFill="1" applyBorder="1" applyAlignment="1" applyProtection="1">
      <alignment horizontal="center" vertical="center"/>
    </xf>
    <xf numFmtId="17" fontId="30" fillId="15" borderId="90" xfId="2" applyNumberFormat="1" applyFont="1" applyFill="1" applyBorder="1" applyAlignment="1" applyProtection="1">
      <alignment horizontal="center" vertical="center"/>
    </xf>
    <xf numFmtId="17" fontId="30" fillId="15" borderId="71" xfId="2" applyNumberFormat="1" applyFont="1" applyFill="1" applyBorder="1" applyAlignment="1" applyProtection="1">
      <alignment horizontal="center" vertical="center"/>
    </xf>
    <xf numFmtId="0" fontId="52" fillId="6" borderId="0" xfId="0" applyFont="1" applyFill="1" applyBorder="1" applyAlignment="1" applyProtection="1">
      <alignment horizontal="center" vertical="center" wrapText="1"/>
    </xf>
    <xf numFmtId="164" fontId="11" fillId="12" borderId="4" xfId="2" applyFont="1" applyFill="1" applyBorder="1" applyAlignment="1" applyProtection="1">
      <alignment horizontal="center" vertical="center"/>
      <protection locked="0"/>
    </xf>
    <xf numFmtId="164" fontId="11" fillId="12" borderId="33" xfId="2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 textRotation="255" wrapText="1"/>
    </xf>
    <xf numFmtId="0" fontId="28" fillId="2" borderId="22" xfId="0" applyFont="1" applyFill="1" applyBorder="1" applyAlignment="1" applyProtection="1">
      <alignment horizontal="center" vertical="center" textRotation="255" wrapText="1"/>
    </xf>
    <xf numFmtId="0" fontId="28" fillId="2" borderId="24" xfId="0" applyFont="1" applyFill="1" applyBorder="1" applyAlignment="1" applyProtection="1">
      <alignment horizontal="center" vertical="center" textRotation="255" wrapText="1"/>
    </xf>
    <xf numFmtId="0" fontId="28" fillId="2" borderId="23" xfId="0" applyFont="1" applyFill="1" applyBorder="1" applyAlignment="1" applyProtection="1">
      <alignment horizontal="center" vertical="center" textRotation="255" wrapText="1"/>
    </xf>
    <xf numFmtId="0" fontId="28" fillId="2" borderId="18" xfId="0" applyFont="1" applyFill="1" applyBorder="1" applyAlignment="1" applyProtection="1">
      <alignment horizontal="center" vertical="center" textRotation="255" wrapText="1"/>
    </xf>
    <xf numFmtId="0" fontId="28" fillId="2" borderId="26" xfId="0" applyFont="1" applyFill="1" applyBorder="1" applyAlignment="1" applyProtection="1">
      <alignment horizontal="center" vertical="center" textRotation="255" wrapText="1"/>
    </xf>
    <xf numFmtId="0" fontId="72" fillId="33" borderId="1" xfId="0" applyNumberFormat="1" applyFont="1" applyFill="1" applyBorder="1" applyAlignment="1" applyProtection="1">
      <alignment horizontal="center" vertical="center"/>
      <protection locked="0"/>
    </xf>
    <xf numFmtId="0" fontId="11" fillId="12" borderId="4" xfId="2" applyNumberFormat="1" applyFont="1" applyFill="1" applyBorder="1" applyAlignment="1" applyProtection="1">
      <alignment horizontal="center" vertical="center"/>
      <protection locked="0"/>
    </xf>
    <xf numFmtId="165" fontId="47" fillId="2" borderId="0" xfId="10" applyFont="1" applyFill="1" applyBorder="1" applyAlignment="1" applyProtection="1">
      <alignment horizontal="center" vertical="center" wrapText="1"/>
    </xf>
    <xf numFmtId="165" fontId="47" fillId="2" borderId="48" xfId="1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/>
    </xf>
    <xf numFmtId="0" fontId="70" fillId="32" borderId="4" xfId="0" applyFont="1" applyFill="1" applyBorder="1" applyAlignment="1" applyProtection="1">
      <alignment horizontal="center" vertical="center"/>
    </xf>
    <xf numFmtId="0" fontId="70" fillId="32" borderId="33" xfId="0" applyFont="1" applyFill="1" applyBorder="1" applyAlignment="1" applyProtection="1">
      <alignment horizontal="center" vertical="center"/>
    </xf>
    <xf numFmtId="0" fontId="72" fillId="33" borderId="74" xfId="2" applyNumberFormat="1" applyFont="1" applyFill="1" applyBorder="1" applyAlignment="1" applyProtection="1">
      <alignment horizontal="center" vertical="center"/>
      <protection locked="0"/>
    </xf>
    <xf numFmtId="0" fontId="72" fillId="33" borderId="84" xfId="2" applyNumberFormat="1" applyFont="1" applyFill="1" applyBorder="1" applyAlignment="1" applyProtection="1">
      <alignment horizontal="center" vertical="center"/>
      <protection locked="0"/>
    </xf>
    <xf numFmtId="0" fontId="70" fillId="15" borderId="81" xfId="0" applyNumberFormat="1" applyFont="1" applyFill="1" applyBorder="1" applyAlignment="1" applyProtection="1">
      <alignment horizontal="center" vertical="center"/>
    </xf>
    <xf numFmtId="0" fontId="70" fillId="15" borderId="82" xfId="0" applyNumberFormat="1" applyFont="1" applyFill="1" applyBorder="1" applyAlignment="1" applyProtection="1">
      <alignment horizontal="center" vertical="center"/>
    </xf>
    <xf numFmtId="0" fontId="83" fillId="23" borderId="0" xfId="0" applyFont="1" applyFill="1" applyBorder="1" applyAlignment="1" applyProtection="1">
      <alignment horizontal="center" vertical="center"/>
    </xf>
    <xf numFmtId="0" fontId="0" fillId="15" borderId="74" xfId="0" applyFill="1" applyBorder="1" applyAlignment="1" applyProtection="1">
      <alignment horizontal="center" vertical="center"/>
    </xf>
    <xf numFmtId="0" fontId="0" fillId="15" borderId="75" xfId="0" applyFill="1" applyBorder="1" applyAlignment="1" applyProtection="1">
      <alignment horizontal="center" vertical="center"/>
    </xf>
    <xf numFmtId="0" fontId="4" fillId="15" borderId="1" xfId="0" applyFont="1" applyFill="1" applyBorder="1" applyAlignment="1" applyProtection="1">
      <alignment horizontal="center" vertical="center"/>
    </xf>
    <xf numFmtId="0" fontId="11" fillId="15" borderId="74" xfId="0" applyFont="1" applyFill="1" applyBorder="1" applyAlignment="1" applyProtection="1">
      <alignment horizontal="center" vertical="center"/>
    </xf>
    <xf numFmtId="0" fontId="11" fillId="15" borderId="75" xfId="0" applyFont="1" applyFill="1" applyBorder="1" applyAlignment="1" applyProtection="1">
      <alignment horizontal="center" vertical="center"/>
    </xf>
    <xf numFmtId="17" fontId="11" fillId="15" borderId="74" xfId="0" applyNumberFormat="1" applyFont="1" applyFill="1" applyBorder="1" applyAlignment="1" applyProtection="1">
      <alignment horizontal="center" vertical="center"/>
    </xf>
    <xf numFmtId="17" fontId="11" fillId="15" borderId="84" xfId="0" applyNumberFormat="1" applyFont="1" applyFill="1" applyBorder="1" applyAlignment="1" applyProtection="1">
      <alignment horizontal="center" vertical="center"/>
    </xf>
    <xf numFmtId="17" fontId="11" fillId="15" borderId="75" xfId="0" applyNumberFormat="1" applyFont="1" applyFill="1" applyBorder="1" applyAlignment="1" applyProtection="1">
      <alignment horizontal="center" vertical="center"/>
    </xf>
    <xf numFmtId="0" fontId="11" fillId="15" borderId="84" xfId="0" applyFont="1" applyFill="1" applyBorder="1" applyAlignment="1" applyProtection="1">
      <alignment horizontal="center" vertical="center"/>
    </xf>
    <xf numFmtId="0" fontId="74" fillId="3" borderId="78" xfId="0" applyFont="1" applyFill="1" applyBorder="1" applyAlignment="1" applyProtection="1">
      <alignment horizontal="center" vertical="center" wrapText="1"/>
    </xf>
    <xf numFmtId="0" fontId="74" fillId="3" borderId="79" xfId="0" applyFont="1" applyFill="1" applyBorder="1" applyAlignment="1" applyProtection="1">
      <alignment horizontal="center" vertical="center" wrapText="1"/>
    </xf>
    <xf numFmtId="0" fontId="74" fillId="3" borderId="80" xfId="0" applyFont="1" applyFill="1" applyBorder="1" applyAlignment="1" applyProtection="1">
      <alignment horizontal="center" vertical="center" wrapText="1"/>
    </xf>
    <xf numFmtId="0" fontId="74" fillId="2" borderId="0" xfId="0" applyNumberFormat="1" applyFont="1" applyFill="1" applyBorder="1" applyAlignment="1" applyProtection="1">
      <alignment horizontal="center" vertical="center"/>
    </xf>
    <xf numFmtId="165" fontId="11" fillId="15" borderId="1" xfId="1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 wrapText="1"/>
    </xf>
    <xf numFmtId="166" fontId="0" fillId="0" borderId="3" xfId="10" applyNumberFormat="1" applyFont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165" fontId="2" fillId="7" borderId="4" xfId="10" applyFont="1" applyFill="1" applyBorder="1" applyAlignment="1" applyProtection="1">
      <alignment horizontal="center" vertical="center"/>
    </xf>
    <xf numFmtId="165" fontId="2" fillId="7" borderId="33" xfId="1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166" fontId="0" fillId="5" borderId="20" xfId="1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15" xfId="0" applyBorder="1" applyAlignment="1" applyProtection="1">
      <alignment horizontal="center" vertical="center" wrapText="1"/>
    </xf>
    <xf numFmtId="0" fontId="0" fillId="0" borderId="116" xfId="0" applyBorder="1" applyAlignment="1" applyProtection="1">
      <alignment horizontal="center" vertical="center" wrapText="1"/>
    </xf>
    <xf numFmtId="10" fontId="4" fillId="0" borderId="15" xfId="0" applyNumberFormat="1" applyFont="1" applyBorder="1" applyAlignment="1" applyProtection="1">
      <alignment horizontal="center" vertical="center" wrapText="1"/>
    </xf>
    <xf numFmtId="10" fontId="4" fillId="0" borderId="77" xfId="0" applyNumberFormat="1" applyFont="1" applyBorder="1" applyAlignment="1" applyProtection="1">
      <alignment horizontal="center" vertical="center" wrapText="1"/>
    </xf>
    <xf numFmtId="10" fontId="4" fillId="0" borderId="7" xfId="0" applyNumberFormat="1" applyFont="1" applyBorder="1" applyAlignment="1" applyProtection="1">
      <alignment horizontal="center" vertical="center" wrapText="1"/>
    </xf>
    <xf numFmtId="0" fontId="15" fillId="8" borderId="3" xfId="0" applyFont="1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112" xfId="0" applyBorder="1" applyAlignment="1" applyProtection="1">
      <alignment horizontal="center" vertical="center" wrapText="1"/>
    </xf>
    <xf numFmtId="166" fontId="5" fillId="5" borderId="113" xfId="10" applyNumberFormat="1" applyFont="1" applyFill="1" applyBorder="1" applyAlignment="1" applyProtection="1">
      <alignment horizontal="center" vertical="center" wrapText="1"/>
    </xf>
    <xf numFmtId="166" fontId="5" fillId="5" borderId="114" xfId="10" applyNumberFormat="1" applyFont="1" applyFill="1" applyBorder="1" applyAlignment="1" applyProtection="1">
      <alignment horizontal="center" vertical="center" wrapText="1"/>
    </xf>
    <xf numFmtId="0" fontId="4" fillId="0" borderId="66" xfId="0" applyFont="1" applyBorder="1" applyAlignment="1" applyProtection="1">
      <alignment horizontal="center"/>
      <protection hidden="1"/>
    </xf>
    <xf numFmtId="0" fontId="4" fillId="0" borderId="64" xfId="0" applyFont="1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/>
      <protection hidden="1"/>
    </xf>
    <xf numFmtId="0" fontId="0" fillId="0" borderId="54" xfId="0" applyBorder="1" applyAlignment="1" applyProtection="1">
      <alignment horizontal="center"/>
      <protection hidden="1"/>
    </xf>
    <xf numFmtId="0" fontId="0" fillId="0" borderId="55" xfId="0" applyBorder="1" applyAlignment="1" applyProtection="1">
      <alignment horizontal="center"/>
      <protection hidden="1"/>
    </xf>
    <xf numFmtId="0" fontId="0" fillId="0" borderId="56" xfId="0" applyBorder="1" applyAlignment="1" applyProtection="1">
      <alignment horizontal="center"/>
      <protection hidden="1"/>
    </xf>
    <xf numFmtId="0" fontId="0" fillId="0" borderId="65" xfId="0" applyBorder="1" applyAlignment="1" applyProtection="1">
      <alignment horizontal="left"/>
      <protection hidden="1"/>
    </xf>
    <xf numFmtId="0" fontId="0" fillId="0" borderId="64" xfId="0" applyBorder="1" applyAlignment="1" applyProtection="1">
      <alignment horizontal="left"/>
      <protection hidden="1"/>
    </xf>
    <xf numFmtId="0" fontId="11" fillId="0" borderId="65" xfId="0" applyFont="1" applyBorder="1" applyAlignment="1" applyProtection="1">
      <alignment horizontal="center"/>
      <protection hidden="1"/>
    </xf>
    <xf numFmtId="0" fontId="11" fillId="0" borderId="66" xfId="0" applyFont="1" applyBorder="1" applyAlignment="1" applyProtection="1">
      <alignment horizontal="center"/>
      <protection hidden="1"/>
    </xf>
    <xf numFmtId="0" fontId="11" fillId="0" borderId="64" xfId="0" applyFont="1" applyBorder="1" applyAlignment="1" applyProtection="1">
      <alignment horizontal="center"/>
      <protection hidden="1"/>
    </xf>
    <xf numFmtId="0" fontId="4" fillId="0" borderId="65" xfId="0" applyFont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4" fillId="0" borderId="24" xfId="0" applyFont="1" applyBorder="1" applyAlignment="1" applyProtection="1">
      <alignment horizontal="center" vertical="justify"/>
      <protection hidden="1"/>
    </xf>
    <xf numFmtId="0" fontId="14" fillId="0" borderId="18" xfId="0" applyFont="1" applyBorder="1" applyAlignment="1" applyProtection="1">
      <alignment horizontal="center" vertical="justify"/>
      <protection hidden="1"/>
    </xf>
    <xf numFmtId="0" fontId="4" fillId="0" borderId="57" xfId="0" applyFont="1" applyBorder="1" applyAlignment="1" applyProtection="1">
      <alignment horizontal="center" vertical="center"/>
      <protection hidden="1"/>
    </xf>
    <xf numFmtId="0" fontId="4" fillId="0" borderId="58" xfId="0" applyFont="1" applyBorder="1" applyAlignment="1" applyProtection="1">
      <alignment horizontal="center" vertical="center"/>
      <protection hidden="1"/>
    </xf>
    <xf numFmtId="0" fontId="14" fillId="0" borderId="52" xfId="0" applyFont="1" applyBorder="1" applyAlignment="1" applyProtection="1">
      <alignment horizontal="center" vertical="justify"/>
      <protection hidden="1"/>
    </xf>
    <xf numFmtId="0" fontId="14" fillId="0" borderId="119" xfId="0" applyFont="1" applyBorder="1" applyAlignment="1" applyProtection="1">
      <alignment horizontal="center" vertical="justify"/>
      <protection hidden="1"/>
    </xf>
    <xf numFmtId="22" fontId="12" fillId="0" borderId="0" xfId="0" applyNumberFormat="1" applyFont="1" applyAlignment="1" applyProtection="1">
      <alignment horizontal="center"/>
      <protection hidden="1"/>
    </xf>
    <xf numFmtId="22" fontId="11" fillId="0" borderId="50" xfId="0" applyNumberFormat="1" applyFont="1" applyBorder="1" applyAlignment="1" applyProtection="1">
      <alignment horizontal="center"/>
      <protection hidden="1"/>
    </xf>
    <xf numFmtId="22" fontId="11" fillId="0" borderId="51" xfId="0" applyNumberFormat="1" applyFont="1" applyBorder="1" applyAlignment="1" applyProtection="1">
      <alignment horizontal="center"/>
      <protection hidden="1"/>
    </xf>
    <xf numFmtId="0" fontId="4" fillId="0" borderId="118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60" xfId="0" applyFont="1" applyBorder="1" applyAlignment="1" applyProtection="1">
      <alignment horizontal="center"/>
      <protection hidden="1"/>
    </xf>
    <xf numFmtId="0" fontId="4" fillId="0" borderId="117" xfId="0" applyFont="1" applyBorder="1" applyAlignment="1" applyProtection="1">
      <alignment horizontal="center"/>
      <protection hidden="1"/>
    </xf>
    <xf numFmtId="0" fontId="4" fillId="0" borderId="61" xfId="0" applyFont="1" applyBorder="1" applyAlignment="1" applyProtection="1">
      <alignment horizontal="center"/>
      <protection hidden="1"/>
    </xf>
    <xf numFmtId="0" fontId="5" fillId="0" borderId="65" xfId="0" applyFont="1" applyBorder="1" applyAlignment="1" applyProtection="1">
      <alignment horizontal="center"/>
      <protection hidden="1"/>
    </xf>
    <xf numFmtId="0" fontId="5" fillId="0" borderId="66" xfId="0" applyFont="1" applyBorder="1" applyAlignment="1" applyProtection="1">
      <alignment horizontal="center"/>
      <protection hidden="1"/>
    </xf>
    <xf numFmtId="171" fontId="5" fillId="0" borderId="66" xfId="0" applyNumberFormat="1" applyFont="1" applyBorder="1" applyAlignment="1" applyProtection="1">
      <alignment horizontal="center"/>
      <protection hidden="1"/>
    </xf>
    <xf numFmtId="0" fontId="5" fillId="0" borderId="64" xfId="0" applyFont="1" applyBorder="1" applyAlignment="1" applyProtection="1">
      <alignment horizontal="center"/>
      <protection hidden="1"/>
    </xf>
    <xf numFmtId="14" fontId="0" fillId="0" borderId="49" xfId="0" applyNumberFormat="1" applyFill="1" applyBorder="1" applyAlignment="1" applyProtection="1">
      <alignment horizontal="center" vertical="center"/>
      <protection hidden="1"/>
    </xf>
    <xf numFmtId="0" fontId="0" fillId="0" borderId="50" xfId="0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0" fillId="0" borderId="0" xfId="0" applyProtection="1">
      <protection hidden="1"/>
    </xf>
    <xf numFmtId="0" fontId="0" fillId="0" borderId="53" xfId="0" applyBorder="1" applyProtection="1">
      <protection hidden="1"/>
    </xf>
    <xf numFmtId="0" fontId="0" fillId="0" borderId="54" xfId="0" applyBorder="1" applyProtection="1">
      <protection hidden="1"/>
    </xf>
    <xf numFmtId="0" fontId="0" fillId="0" borderId="55" xfId="0" applyBorder="1" applyProtection="1">
      <protection hidden="1"/>
    </xf>
    <xf numFmtId="0" fontId="0" fillId="0" borderId="56" xfId="0" applyBorder="1" applyProtection="1">
      <protection hidden="1"/>
    </xf>
    <xf numFmtId="0" fontId="5" fillId="0" borderId="65" xfId="0" applyFont="1" applyBorder="1" applyAlignment="1" applyProtection="1">
      <alignment horizontal="left"/>
      <protection hidden="1"/>
    </xf>
    <xf numFmtId="0" fontId="5" fillId="0" borderId="66" xfId="0" applyFont="1" applyBorder="1" applyAlignment="1" applyProtection="1">
      <alignment horizontal="left"/>
      <protection hidden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165" fontId="0" fillId="13" borderId="5" xfId="10" applyFont="1" applyFill="1" applyBorder="1" applyAlignment="1">
      <alignment vertical="center"/>
    </xf>
    <xf numFmtId="0" fontId="0" fillId="0" borderId="6" xfId="0" applyBorder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5" fontId="0" fillId="0" borderId="5" xfId="10" applyFont="1" applyBorder="1" applyAlignment="1">
      <alignment vertical="center"/>
    </xf>
    <xf numFmtId="165" fontId="0" fillId="0" borderId="6" xfId="10" applyFont="1" applyBorder="1" applyAlignment="1">
      <alignment vertical="center"/>
    </xf>
    <xf numFmtId="165" fontId="0" fillId="0" borderId="9" xfId="10" applyFont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105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center" vertical="center"/>
    </xf>
    <xf numFmtId="2" fontId="0" fillId="0" borderId="0" xfId="0" applyNumberFormat="1" applyAlignment="1">
      <alignment vertical="center"/>
    </xf>
  </cellXfs>
  <cellStyles count="12">
    <cellStyle name="Euro" xfId="1"/>
    <cellStyle name="Moeda" xfId="2" builtinId="4"/>
    <cellStyle name="Normal" xfId="0" builtinId="0"/>
    <cellStyle name="Normal 2" xfId="3"/>
    <cellStyle name="Porcentagem" xfId="4" builtinId="5"/>
    <cellStyle name="Porcentagem 2" xfId="5"/>
    <cellStyle name="Separador de milhares 2" xfId="6"/>
    <cellStyle name="Separador de milhares_Matriz pv" xfId="7"/>
    <cellStyle name="Separador de milhares_PV das tabelas (version 2)" xfId="8"/>
    <cellStyle name="Total" xfId="9" builtinId="25" customBuiltin="1"/>
    <cellStyle name="Vírgula" xfId="10" builtinId="3"/>
    <cellStyle name="Vírgula 2" xfId="11"/>
  </cellStyles>
  <dxfs count="3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22"/>
      </font>
      <fill>
        <patternFill>
          <bgColor indexed="16"/>
        </patternFill>
      </fill>
    </dxf>
    <dxf>
      <font>
        <b/>
        <i val="0"/>
        <color rgb="FFFF0000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theme="0"/>
      </font>
      <fill>
        <patternFill>
          <bgColor indexed="22"/>
        </pattern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FF0000"/>
          </stop>
        </gradient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>
          <bgColor indexed="16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theme="8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FFFF"/>
      <rgbColor rgb="00808080"/>
      <rgbColor rgb="00F0E0D0"/>
      <rgbColor rgb="00BDDEFF"/>
      <rgbColor rgb="00DADAE6"/>
      <rgbColor rgb="00ECECEC"/>
      <rgbColor rgb="00BCBCD2"/>
      <rgbColor rgb="00FEFAA0"/>
      <rgbColor rgb="000066CC"/>
      <rgbColor rgb="00DDDD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4B4B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171450</xdr:rowOff>
    </xdr:from>
    <xdr:to>
      <xdr:col>2</xdr:col>
      <xdr:colOff>1981200</xdr:colOff>
      <xdr:row>4</xdr:row>
      <xdr:rowOff>2050</xdr:rowOff>
    </xdr:to>
    <xdr:pic>
      <xdr:nvPicPr>
        <xdr:cNvPr id="2" name="Picture 1" descr="140923-ASSINATURA_EMAIL_cyrela-07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1" t="78425" r="62796" b="2321"/>
        <a:stretch/>
      </xdr:blipFill>
      <xdr:spPr bwMode="auto">
        <a:xfrm>
          <a:off x="476249" y="171450"/>
          <a:ext cx="2286001" cy="1297450"/>
        </a:xfrm>
        <a:prstGeom prst="rect">
          <a:avLst/>
        </a:prstGeom>
        <a:solidFill>
          <a:schemeClr val="bg1">
            <a:alpha val="42000"/>
          </a:schemeClr>
        </a:solidFill>
        <a:ln>
          <a:noFill/>
        </a:ln>
        <a:effectLst>
          <a:glow rad="127000">
            <a:schemeClr val="accent1">
              <a:alpha val="0"/>
            </a:schemeClr>
          </a:glow>
          <a:softEdge rad="0"/>
        </a:effectLst>
        <a:extLst/>
      </xdr:spPr>
    </xdr:pic>
    <xdr:clientData/>
  </xdr:twoCellAnchor>
  <xdr:twoCellAnchor editAs="oneCell">
    <xdr:from>
      <xdr:col>3</xdr:col>
      <xdr:colOff>488394</xdr:colOff>
      <xdr:row>0</xdr:row>
      <xdr:rowOff>209551</xdr:rowOff>
    </xdr:from>
    <xdr:to>
      <xdr:col>5</xdr:col>
      <xdr:colOff>742950</xdr:colOff>
      <xdr:row>3</xdr:row>
      <xdr:rowOff>343363</xdr:rowOff>
    </xdr:to>
    <xdr:pic>
      <xdr:nvPicPr>
        <xdr:cNvPr id="3" name="Picture 1" descr="140923-ASSINATURA_EMAIL_cyrela-07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57" t="78425" r="36719" b="2321"/>
        <a:stretch/>
      </xdr:blipFill>
      <xdr:spPr bwMode="auto">
        <a:xfrm>
          <a:off x="3060144" y="209551"/>
          <a:ext cx="2197656" cy="1219662"/>
        </a:xfrm>
        <a:prstGeom prst="rect">
          <a:avLst/>
        </a:prstGeom>
        <a:solidFill>
          <a:schemeClr val="bg1">
            <a:alpha val="42000"/>
          </a:schemeClr>
        </a:solidFill>
        <a:ln>
          <a:noFill/>
        </a:ln>
        <a:effectLst>
          <a:glow rad="127000">
            <a:schemeClr val="accent1">
              <a:alpha val="0"/>
            </a:schemeClr>
          </a:glow>
          <a:softEdge rad="0"/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</xdr:row>
          <xdr:rowOff>76200</xdr:rowOff>
        </xdr:from>
        <xdr:to>
          <xdr:col>14</xdr:col>
          <xdr:colOff>571500</xdr:colOff>
          <xdr:row>5</xdr:row>
          <xdr:rowOff>47625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t-B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Estudo</a:t>
              </a:r>
            </a:p>
            <a:p>
              <a:pPr algn="ctr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Ctrl + Shift + C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5</xdr:row>
          <xdr:rowOff>152400</xdr:rowOff>
        </xdr:from>
        <xdr:to>
          <xdr:col>14</xdr:col>
          <xdr:colOff>561975</xdr:colOff>
          <xdr:row>7</xdr:row>
          <xdr:rowOff>142875</xdr:rowOff>
        </xdr:to>
        <xdr:sp macro="" textlink="">
          <xdr:nvSpPr>
            <xdr:cNvPr id="14339" name="Butto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t-BR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Completo</a:t>
              </a:r>
            </a:p>
            <a:p>
              <a:pPr algn="ctr" rtl="0">
                <a:defRPr sz="1000"/>
              </a:pPr>
              <a:r>
                <a:rPr lang="pt-BR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Ctrl + Shift + P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tabColor indexed="10"/>
  </sheetPr>
  <dimension ref="B1:L289"/>
  <sheetViews>
    <sheetView showGridLines="0" topLeftCell="B66" zoomScale="85" zoomScaleNormal="85" workbookViewId="0">
      <selection activeCell="D100" sqref="D100"/>
    </sheetView>
  </sheetViews>
  <sheetFormatPr defaultRowHeight="12.75" x14ac:dyDescent="0.2"/>
  <cols>
    <col min="1" max="1" width="2" style="4" customWidth="1"/>
    <col min="2" max="2" width="20.42578125" style="4" customWidth="1"/>
    <col min="3" max="3" width="60.5703125" style="14" customWidth="1"/>
    <col min="4" max="4" width="23.28515625" style="14" customWidth="1"/>
    <col min="5" max="5" width="16.7109375" style="4" bestFit="1" customWidth="1"/>
    <col min="6" max="6" width="18.42578125" style="4" customWidth="1"/>
    <col min="7" max="7" width="18.140625" style="4" customWidth="1"/>
    <col min="8" max="8" width="16.85546875" style="4" customWidth="1"/>
    <col min="9" max="9" width="16.42578125" style="4" customWidth="1"/>
    <col min="10" max="10" width="17.140625" style="4" bestFit="1" customWidth="1"/>
    <col min="11" max="11" width="10.28515625" style="4" bestFit="1" customWidth="1"/>
    <col min="12" max="16384" width="9.140625" style="4"/>
  </cols>
  <sheetData>
    <row r="1" spans="2:12" x14ac:dyDescent="0.2">
      <c r="B1" s="705" t="s">
        <v>151</v>
      </c>
      <c r="C1" s="705"/>
      <c r="D1" s="705"/>
      <c r="E1" s="705"/>
      <c r="H1" s="693" t="s">
        <v>210</v>
      </c>
      <c r="I1" s="693" t="s">
        <v>578</v>
      </c>
      <c r="J1" s="4">
        <f>1.0063*1.0093*1.003*1.0036*1.0006*1.0031*1.0031*1.0007*1.0031*1.0013*1.0024*1.0029*1.0023*1.0097*1.0061*1.0015*1.0023*1.0035*1.0013*1.0013*1.0049*1.0009*1.0031*1.0038*1.0003*1.0088*1.0058*1.0042*1.0046</f>
        <v>1.1090736243212971</v>
      </c>
    </row>
    <row r="2" spans="2:12" s="5" customFormat="1" ht="16.5" customHeight="1" x14ac:dyDescent="0.2">
      <c r="B2" s="57" t="s">
        <v>143</v>
      </c>
      <c r="C2" s="19"/>
      <c r="D2" s="19">
        <f>VLOOKUP('Simulador CEF'!G4,'DADOS DOS EMPREENDIMENTOS'!B10:C23,2,FALSE)</f>
        <v>1</v>
      </c>
      <c r="E2" s="58"/>
      <c r="H2" s="694" t="s">
        <v>209</v>
      </c>
    </row>
    <row r="3" spans="2:12" s="5" customFormat="1" ht="17.25" customHeight="1" x14ac:dyDescent="0.2">
      <c r="B3" s="35" t="s">
        <v>101</v>
      </c>
      <c r="C3" s="19"/>
      <c r="D3" s="706" t="str">
        <f>VLOOKUP(D2,'DADOS DOS EMPREENDIMENTOS'!A10:B23,2,FALSE)</f>
        <v>Rocha</v>
      </c>
      <c r="E3" s="707"/>
    </row>
    <row r="4" spans="2:12" s="5" customFormat="1" ht="21.75" customHeight="1" x14ac:dyDescent="0.2">
      <c r="B4" s="57" t="s">
        <v>157</v>
      </c>
      <c r="C4" s="19"/>
      <c r="D4" s="32"/>
      <c r="E4" s="59">
        <f>VLOOKUP(D2,'DADOS DOS EMPREENDIMENTOS'!A10:I22,9,FALSE)</f>
        <v>240000</v>
      </c>
    </row>
    <row r="5" spans="2:12" s="5" customFormat="1" x14ac:dyDescent="0.2">
      <c r="B5" s="705" t="s">
        <v>152</v>
      </c>
      <c r="C5" s="705"/>
      <c r="D5" s="705"/>
      <c r="E5" s="705"/>
    </row>
    <row r="6" spans="2:12" s="5" customFormat="1" x14ac:dyDescent="0.2">
      <c r="B6" s="708"/>
      <c r="C6" s="60" t="s">
        <v>139</v>
      </c>
      <c r="D6" s="61" t="s">
        <v>149</v>
      </c>
      <c r="E6" s="61" t="s">
        <v>150</v>
      </c>
    </row>
    <row r="7" spans="2:12" s="62" customFormat="1" x14ac:dyDescent="0.2">
      <c r="B7" s="709"/>
      <c r="C7" s="19">
        <f>VLOOKUP($D$2,'DADOS DOS EMPREENDIMENTOS'!$C$10:$H$23,4,FALSE)</f>
        <v>2</v>
      </c>
      <c r="D7" s="19">
        <f>VLOOKUP($D$2,'DADOS DOS EMPREENDIMENTOS'!$C$10:$H$23,5,FALSE)</f>
        <v>3</v>
      </c>
      <c r="E7" s="19">
        <f>VLOOKUP($D$2,'DADOS DOS EMPREENDIMENTOS'!$C$10:$H$23,6,FALSE)</f>
        <v>4</v>
      </c>
      <c r="F7" s="19">
        <f>VLOOKUP($D$2,'DADOS DOS EMPREENDIMENTOS'!$C$10:$N$23,12,FALSE)</f>
        <v>5</v>
      </c>
      <c r="I7" s="62">
        <v>210000</v>
      </c>
      <c r="J7" s="697">
        <v>248795</v>
      </c>
    </row>
    <row r="8" spans="2:12" ht="24" customHeight="1" x14ac:dyDescent="0.2">
      <c r="B8" s="710"/>
      <c r="C8" s="19" t="s">
        <v>137</v>
      </c>
      <c r="D8" s="19" t="s">
        <v>22</v>
      </c>
      <c r="E8" s="19" t="s">
        <v>21</v>
      </c>
      <c r="F8" s="19" t="s">
        <v>18</v>
      </c>
      <c r="G8" s="19" t="s">
        <v>579</v>
      </c>
      <c r="H8" s="5"/>
      <c r="I8" s="697">
        <v>210000</v>
      </c>
      <c r="J8" s="697">
        <v>248795</v>
      </c>
      <c r="K8" s="693" t="s">
        <v>580</v>
      </c>
      <c r="L8" s="693" t="s">
        <v>581</v>
      </c>
    </row>
    <row r="9" spans="2:12" ht="13.5" thickBot="1" x14ac:dyDescent="0.25">
      <c r="B9" s="20">
        <v>1</v>
      </c>
      <c r="C9" s="640" t="s">
        <v>315</v>
      </c>
      <c r="D9" s="642">
        <f>ROUND((G9*$J$1)*I9,-1)</f>
        <v>216010</v>
      </c>
      <c r="E9" s="642">
        <v>225000</v>
      </c>
      <c r="F9" s="76">
        <f>VLOOKUP(B9,'DADOS DOS EMPREENDIMENTOS'!$O$16:$CX$37,Apoio!$F$7,FALSE)</f>
        <v>5</v>
      </c>
      <c r="G9" s="642">
        <v>208700</v>
      </c>
      <c r="H9" s="14">
        <f>IF(D9&gt;=$I$8,$I$7,"Não alterar")</f>
        <v>210000</v>
      </c>
      <c r="I9" s="1114">
        <f>K9/L9</f>
        <v>0.93325157435410011</v>
      </c>
      <c r="J9" s="1114">
        <v>6010.4094000000005</v>
      </c>
      <c r="K9" s="1114">
        <v>216010.4094</v>
      </c>
      <c r="L9" s="4">
        <v>231460</v>
      </c>
    </row>
    <row r="10" spans="2:12" ht="13.5" thickBot="1" x14ac:dyDescent="0.25">
      <c r="B10" s="20"/>
      <c r="C10" s="640" t="s">
        <v>317</v>
      </c>
      <c r="D10" s="642">
        <f t="shared" ref="D10:D73" si="0">ROUND((G10*$J$1)*I10,-1)</f>
        <v>215850</v>
      </c>
      <c r="E10" s="642">
        <v>225000</v>
      </c>
      <c r="F10" s="76">
        <f>F9</f>
        <v>5</v>
      </c>
      <c r="G10" s="642">
        <v>205000</v>
      </c>
      <c r="H10" s="14">
        <f t="shared" ref="H10:H38" si="1">IF(D10&gt;=$I$8,$I$7,"Não alterar")</f>
        <v>210000</v>
      </c>
      <c r="I10" s="1114">
        <f t="shared" ref="I10:I73" si="2">K10/L10</f>
        <v>0.94939100193525694</v>
      </c>
      <c r="J10" s="1114">
        <v>5853.5382</v>
      </c>
      <c r="K10" s="1114">
        <v>215853.53820000001</v>
      </c>
      <c r="L10" s="4">
        <v>227360</v>
      </c>
    </row>
    <row r="11" spans="2:12" ht="13.5" thickBot="1" x14ac:dyDescent="0.25">
      <c r="B11" s="20"/>
      <c r="C11" s="640" t="s">
        <v>318</v>
      </c>
      <c r="D11" s="642">
        <f t="shared" si="0"/>
        <v>215810</v>
      </c>
      <c r="E11" s="642">
        <v>225000</v>
      </c>
      <c r="F11" s="76">
        <f t="shared" ref="F11:F74" si="3">F10</f>
        <v>5</v>
      </c>
      <c r="G11" s="642">
        <v>200600</v>
      </c>
      <c r="H11" s="14">
        <f t="shared" si="1"/>
        <v>210000</v>
      </c>
      <c r="I11" s="1114">
        <f t="shared" si="2"/>
        <v>0.97003109492988138</v>
      </c>
      <c r="J11" s="1114">
        <v>5812.518</v>
      </c>
      <c r="K11" s="1114">
        <v>215812.51800000001</v>
      </c>
      <c r="L11" s="4">
        <v>222480</v>
      </c>
    </row>
    <row r="12" spans="2:12" ht="13.5" thickBot="1" x14ac:dyDescent="0.25">
      <c r="B12" s="20"/>
      <c r="C12" s="640" t="s">
        <v>319</v>
      </c>
      <c r="D12" s="642">
        <f t="shared" si="0"/>
        <v>216040</v>
      </c>
      <c r="E12" s="642">
        <v>225000</v>
      </c>
      <c r="F12" s="76">
        <f t="shared" si="3"/>
        <v>5</v>
      </c>
      <c r="G12" s="642">
        <v>204200</v>
      </c>
      <c r="H12" s="14">
        <f t="shared" si="1"/>
        <v>210000</v>
      </c>
      <c r="I12" s="1114">
        <f t="shared" si="2"/>
        <v>0.95392620553399132</v>
      </c>
      <c r="J12" s="1114">
        <v>6035.6677672829992</v>
      </c>
      <c r="K12" s="1114">
        <v>216035.66776728301</v>
      </c>
      <c r="L12" s="4">
        <v>226470</v>
      </c>
    </row>
    <row r="13" spans="2:12" ht="13.5" thickBot="1" x14ac:dyDescent="0.25">
      <c r="B13" s="20"/>
      <c r="C13" s="640" t="s">
        <v>320</v>
      </c>
      <c r="D13" s="642">
        <f t="shared" si="0"/>
        <v>216040</v>
      </c>
      <c r="E13" s="642">
        <v>225000</v>
      </c>
      <c r="F13" s="76">
        <f t="shared" si="3"/>
        <v>5</v>
      </c>
      <c r="G13" s="642">
        <v>204200</v>
      </c>
      <c r="H13" s="14">
        <f t="shared" si="1"/>
        <v>210000</v>
      </c>
      <c r="I13" s="1114">
        <f t="shared" si="2"/>
        <v>0.95392620553399132</v>
      </c>
      <c r="J13" s="1114">
        <v>6035.6677672829992</v>
      </c>
      <c r="K13" s="1114">
        <v>216035.66776728301</v>
      </c>
      <c r="L13" s="4">
        <v>226470</v>
      </c>
    </row>
    <row r="14" spans="2:12" ht="13.5" thickBot="1" x14ac:dyDescent="0.25">
      <c r="B14" s="20"/>
      <c r="C14" s="640" t="s">
        <v>321</v>
      </c>
      <c r="D14" s="642">
        <f t="shared" si="0"/>
        <v>215690</v>
      </c>
      <c r="E14" s="642">
        <v>225000</v>
      </c>
      <c r="F14" s="76">
        <f t="shared" si="3"/>
        <v>5</v>
      </c>
      <c r="G14" s="642">
        <v>200600</v>
      </c>
      <c r="H14" s="14">
        <f t="shared" si="1"/>
        <v>210000</v>
      </c>
      <c r="I14" s="1114">
        <f t="shared" si="2"/>
        <v>0.9695020631067961</v>
      </c>
      <c r="J14" s="1114">
        <v>5694.8189999999995</v>
      </c>
      <c r="K14" s="1114">
        <v>215694.81899999999</v>
      </c>
      <c r="L14" s="4">
        <v>222480</v>
      </c>
    </row>
    <row r="15" spans="2:12" ht="13.5" thickBot="1" x14ac:dyDescent="0.25">
      <c r="B15" s="20"/>
      <c r="C15" s="640" t="s">
        <v>322</v>
      </c>
      <c r="D15" s="642">
        <f t="shared" si="0"/>
        <v>215860</v>
      </c>
      <c r="E15" s="642">
        <v>225000</v>
      </c>
      <c r="F15" s="76">
        <f t="shared" si="3"/>
        <v>5</v>
      </c>
      <c r="G15" s="642">
        <v>215500</v>
      </c>
      <c r="H15" s="14">
        <f t="shared" si="1"/>
        <v>210000</v>
      </c>
      <c r="I15" s="1114">
        <f t="shared" si="2"/>
        <v>0.90315995983431652</v>
      </c>
      <c r="J15" s="1114">
        <v>5864.2619999999997</v>
      </c>
      <c r="K15" s="1114">
        <v>215864.26199999999</v>
      </c>
      <c r="L15" s="4">
        <v>239010</v>
      </c>
    </row>
    <row r="16" spans="2:12" ht="13.5" thickBot="1" x14ac:dyDescent="0.25">
      <c r="B16" s="20"/>
      <c r="C16" s="640" t="s">
        <v>323</v>
      </c>
      <c r="D16" s="642">
        <f t="shared" si="0"/>
        <v>215940</v>
      </c>
      <c r="E16" s="642">
        <v>225000</v>
      </c>
      <c r="F16" s="76">
        <f t="shared" si="3"/>
        <v>5</v>
      </c>
      <c r="G16" s="642">
        <v>211600</v>
      </c>
      <c r="H16" s="14">
        <f t="shared" si="1"/>
        <v>210000</v>
      </c>
      <c r="I16" s="1114">
        <f t="shared" si="2"/>
        <v>0.92015228592116927</v>
      </c>
      <c r="J16" s="1114">
        <v>5941.3384599800002</v>
      </c>
      <c r="K16" s="1114">
        <v>215941.33845998</v>
      </c>
      <c r="L16" s="4">
        <v>234680</v>
      </c>
    </row>
    <row r="17" spans="2:12" ht="13.5" thickBot="1" x14ac:dyDescent="0.25">
      <c r="B17" s="20"/>
      <c r="C17" s="640" t="s">
        <v>324</v>
      </c>
      <c r="D17" s="642">
        <f t="shared" si="0"/>
        <v>215940</v>
      </c>
      <c r="E17" s="642">
        <v>225000</v>
      </c>
      <c r="F17" s="76">
        <f t="shared" si="3"/>
        <v>5</v>
      </c>
      <c r="G17" s="642">
        <v>207100</v>
      </c>
      <c r="H17" s="14">
        <f t="shared" si="1"/>
        <v>210000</v>
      </c>
      <c r="I17" s="1114">
        <f t="shared" si="2"/>
        <v>0.94014253324036745</v>
      </c>
      <c r="J17" s="1114">
        <v>5941.3384599800002</v>
      </c>
      <c r="K17" s="1114">
        <v>215941.33845998</v>
      </c>
      <c r="L17" s="4">
        <v>229690</v>
      </c>
    </row>
    <row r="18" spans="2:12" ht="13.5" thickBot="1" x14ac:dyDescent="0.25">
      <c r="B18" s="20"/>
      <c r="C18" s="640" t="s">
        <v>325</v>
      </c>
      <c r="D18" s="642">
        <f t="shared" si="0"/>
        <v>216040</v>
      </c>
      <c r="E18" s="642">
        <v>225000</v>
      </c>
      <c r="F18" s="76">
        <f t="shared" si="3"/>
        <v>5</v>
      </c>
      <c r="G18" s="642">
        <v>210800</v>
      </c>
      <c r="H18" s="14">
        <f t="shared" si="1"/>
        <v>210000</v>
      </c>
      <c r="I18" s="1114">
        <f t="shared" si="2"/>
        <v>0.92405863282126277</v>
      </c>
      <c r="J18" s="1114">
        <v>6035.6677672829992</v>
      </c>
      <c r="K18" s="1114">
        <v>216035.66776728301</v>
      </c>
      <c r="L18" s="4">
        <v>233790</v>
      </c>
    </row>
    <row r="19" spans="2:12" ht="13.5" thickBot="1" x14ac:dyDescent="0.25">
      <c r="B19" s="20"/>
      <c r="C19" s="640" t="s">
        <v>326</v>
      </c>
      <c r="D19" s="642">
        <f t="shared" si="0"/>
        <v>216040</v>
      </c>
      <c r="E19" s="642">
        <v>225000</v>
      </c>
      <c r="F19" s="76">
        <f t="shared" si="3"/>
        <v>5</v>
      </c>
      <c r="G19" s="642">
        <v>210800</v>
      </c>
      <c r="H19" s="14">
        <f t="shared" si="1"/>
        <v>210000</v>
      </c>
      <c r="I19" s="1114">
        <f t="shared" si="2"/>
        <v>0.92405863282126277</v>
      </c>
      <c r="J19" s="1114">
        <v>6035.6677672829992</v>
      </c>
      <c r="K19" s="1114">
        <v>216035.66776728301</v>
      </c>
      <c r="L19" s="4">
        <v>233790</v>
      </c>
    </row>
    <row r="20" spans="2:12" ht="13.5" thickBot="1" x14ac:dyDescent="0.25">
      <c r="B20" s="20"/>
      <c r="C20" s="640" t="s">
        <v>327</v>
      </c>
      <c r="D20" s="642">
        <f t="shared" si="0"/>
        <v>215940</v>
      </c>
      <c r="E20" s="642">
        <v>225000</v>
      </c>
      <c r="F20" s="76">
        <f t="shared" si="3"/>
        <v>5</v>
      </c>
      <c r="G20" s="642">
        <v>202490</v>
      </c>
      <c r="H20" s="14">
        <f t="shared" si="1"/>
        <v>210000</v>
      </c>
      <c r="I20" s="1114">
        <f t="shared" si="2"/>
        <v>0.96153414578315077</v>
      </c>
      <c r="J20" s="1114">
        <v>5941.3384599800002</v>
      </c>
      <c r="K20" s="1114">
        <v>215941.33845998</v>
      </c>
      <c r="L20" s="4">
        <v>224580</v>
      </c>
    </row>
    <row r="21" spans="2:12" ht="13.5" thickBot="1" x14ac:dyDescent="0.25">
      <c r="B21" s="20"/>
      <c r="C21" s="640" t="s">
        <v>328</v>
      </c>
      <c r="D21" s="642">
        <f t="shared" si="0"/>
        <v>215940</v>
      </c>
      <c r="E21" s="642">
        <v>225000</v>
      </c>
      <c r="F21" s="76">
        <f t="shared" si="3"/>
        <v>5</v>
      </c>
      <c r="G21" s="642">
        <v>211600</v>
      </c>
      <c r="H21" s="14">
        <f t="shared" si="1"/>
        <v>210000</v>
      </c>
      <c r="I21" s="1114">
        <f t="shared" si="2"/>
        <v>0.92015228592116927</v>
      </c>
      <c r="J21" s="1114">
        <v>5941.3384599800002</v>
      </c>
      <c r="K21" s="1114">
        <v>215941.33845998</v>
      </c>
      <c r="L21" s="4">
        <v>234680</v>
      </c>
    </row>
    <row r="22" spans="2:12" ht="13.5" thickBot="1" x14ac:dyDescent="0.25">
      <c r="B22" s="20"/>
      <c r="C22" s="640" t="s">
        <v>329</v>
      </c>
      <c r="D22" s="642">
        <f t="shared" si="0"/>
        <v>216030</v>
      </c>
      <c r="E22" s="642">
        <v>225000</v>
      </c>
      <c r="F22" s="76">
        <f t="shared" si="3"/>
        <v>5</v>
      </c>
      <c r="G22" s="642">
        <v>215500</v>
      </c>
      <c r="H22" s="14">
        <f t="shared" si="1"/>
        <v>210000</v>
      </c>
      <c r="I22" s="1114">
        <f t="shared" si="2"/>
        <v>0.90387710877069161</v>
      </c>
      <c r="J22" s="1114">
        <v>6035.6677672829992</v>
      </c>
      <c r="K22" s="1114">
        <v>216035.66776728301</v>
      </c>
      <c r="L22" s="4">
        <v>239010</v>
      </c>
    </row>
    <row r="23" spans="2:12" ht="13.5" thickBot="1" x14ac:dyDescent="0.25">
      <c r="B23" s="20"/>
      <c r="C23" s="640" t="s">
        <v>330</v>
      </c>
      <c r="D23" s="642">
        <f t="shared" si="0"/>
        <v>216030</v>
      </c>
      <c r="E23" s="642">
        <v>225000</v>
      </c>
      <c r="F23" s="76">
        <f t="shared" si="3"/>
        <v>5</v>
      </c>
      <c r="G23" s="642">
        <v>215500</v>
      </c>
      <c r="H23" s="14">
        <f t="shared" si="1"/>
        <v>210000</v>
      </c>
      <c r="I23" s="1114">
        <f t="shared" si="2"/>
        <v>0.90387710877069161</v>
      </c>
      <c r="J23" s="1114">
        <v>6035.6677672829992</v>
      </c>
      <c r="K23" s="1114">
        <v>216035.66776728301</v>
      </c>
      <c r="L23" s="4">
        <v>239010</v>
      </c>
    </row>
    <row r="24" spans="2:12" ht="13.5" thickBot="1" x14ac:dyDescent="0.25">
      <c r="B24" s="20"/>
      <c r="C24" s="640" t="s">
        <v>331</v>
      </c>
      <c r="D24" s="642">
        <f t="shared" si="0"/>
        <v>215940</v>
      </c>
      <c r="E24" s="642">
        <v>225000</v>
      </c>
      <c r="F24" s="76">
        <f t="shared" si="3"/>
        <v>5</v>
      </c>
      <c r="G24" s="642">
        <v>211600</v>
      </c>
      <c r="H24" s="14">
        <f t="shared" si="1"/>
        <v>210000</v>
      </c>
      <c r="I24" s="1114">
        <f t="shared" si="2"/>
        <v>0.92015228592116927</v>
      </c>
      <c r="J24" s="1114">
        <v>5941.3384599800002</v>
      </c>
      <c r="K24" s="1114">
        <v>215941.33845998</v>
      </c>
      <c r="L24" s="4">
        <v>234680</v>
      </c>
    </row>
    <row r="25" spans="2:12" ht="13.5" thickBot="1" x14ac:dyDescent="0.25">
      <c r="B25" s="20"/>
      <c r="C25" s="640" t="s">
        <v>332</v>
      </c>
      <c r="D25" s="642">
        <f t="shared" si="0"/>
        <v>215760</v>
      </c>
      <c r="E25" s="642">
        <v>225000</v>
      </c>
      <c r="F25" s="76">
        <f t="shared" si="3"/>
        <v>5</v>
      </c>
      <c r="G25" s="642">
        <v>207100</v>
      </c>
      <c r="H25" s="14">
        <f t="shared" si="1"/>
        <v>210000</v>
      </c>
      <c r="I25" s="1114">
        <f t="shared" si="2"/>
        <v>0.93935654142539948</v>
      </c>
      <c r="J25" s="1114">
        <v>5760.8039999999992</v>
      </c>
      <c r="K25" s="1114">
        <v>215760.804</v>
      </c>
      <c r="L25" s="4">
        <v>229690</v>
      </c>
    </row>
    <row r="26" spans="2:12" ht="13.5" thickBot="1" x14ac:dyDescent="0.25">
      <c r="B26" s="20"/>
      <c r="C26" s="640" t="s">
        <v>333</v>
      </c>
      <c r="D26" s="642">
        <f t="shared" si="0"/>
        <v>216040</v>
      </c>
      <c r="E26" s="642">
        <v>225000</v>
      </c>
      <c r="F26" s="76">
        <f t="shared" si="3"/>
        <v>5</v>
      </c>
      <c r="G26" s="642">
        <v>210800</v>
      </c>
      <c r="H26" s="14">
        <f t="shared" si="1"/>
        <v>210000</v>
      </c>
      <c r="I26" s="1114">
        <f t="shared" si="2"/>
        <v>0.92405863282126277</v>
      </c>
      <c r="J26" s="1114">
        <v>6035.6677672829992</v>
      </c>
      <c r="K26" s="1114">
        <v>216035.66776728301</v>
      </c>
      <c r="L26" s="4">
        <v>233790</v>
      </c>
    </row>
    <row r="27" spans="2:12" ht="13.5" thickBot="1" x14ac:dyDescent="0.25">
      <c r="B27" s="20"/>
      <c r="C27" s="640" t="s">
        <v>334</v>
      </c>
      <c r="D27" s="642">
        <f t="shared" si="0"/>
        <v>216040</v>
      </c>
      <c r="E27" s="642">
        <v>225000</v>
      </c>
      <c r="F27" s="76">
        <f t="shared" si="3"/>
        <v>5</v>
      </c>
      <c r="G27" s="642">
        <v>210800</v>
      </c>
      <c r="H27" s="14">
        <f t="shared" si="1"/>
        <v>210000</v>
      </c>
      <c r="I27" s="1114">
        <f t="shared" si="2"/>
        <v>0.92405863282126277</v>
      </c>
      <c r="J27" s="1114">
        <v>6035.6677672829992</v>
      </c>
      <c r="K27" s="1114">
        <v>216035.66776728301</v>
      </c>
      <c r="L27" s="4">
        <v>233790</v>
      </c>
    </row>
    <row r="28" spans="2:12" ht="13.5" thickBot="1" x14ac:dyDescent="0.25">
      <c r="B28" s="20"/>
      <c r="C28" s="640" t="s">
        <v>335</v>
      </c>
      <c r="D28" s="642">
        <f t="shared" si="0"/>
        <v>215940</v>
      </c>
      <c r="E28" s="642">
        <v>225000</v>
      </c>
      <c r="F28" s="76">
        <f t="shared" si="3"/>
        <v>5</v>
      </c>
      <c r="G28" s="642">
        <v>207100</v>
      </c>
      <c r="H28" s="14">
        <f t="shared" si="1"/>
        <v>210000</v>
      </c>
      <c r="I28" s="1114">
        <f t="shared" si="2"/>
        <v>0.94014253324036745</v>
      </c>
      <c r="J28" s="1114">
        <v>5941.3384599800002</v>
      </c>
      <c r="K28" s="1114">
        <v>215941.33845998</v>
      </c>
      <c r="L28" s="4">
        <v>229690</v>
      </c>
    </row>
    <row r="29" spans="2:12" ht="13.5" thickBot="1" x14ac:dyDescent="0.25">
      <c r="B29" s="20"/>
      <c r="C29" s="640" t="s">
        <v>336</v>
      </c>
      <c r="D29" s="642">
        <f t="shared" si="0"/>
        <v>215940</v>
      </c>
      <c r="E29" s="642">
        <v>225000</v>
      </c>
      <c r="F29" s="76">
        <f t="shared" si="3"/>
        <v>5</v>
      </c>
      <c r="G29" s="642">
        <v>211600</v>
      </c>
      <c r="H29" s="14">
        <f t="shared" si="1"/>
        <v>210000</v>
      </c>
      <c r="I29" s="1114">
        <f t="shared" si="2"/>
        <v>0.92015228592116927</v>
      </c>
      <c r="J29" s="1114">
        <v>5941.3384599800002</v>
      </c>
      <c r="K29" s="1114">
        <v>215941.33845998</v>
      </c>
      <c r="L29" s="4">
        <v>234680</v>
      </c>
    </row>
    <row r="30" spans="2:12" ht="13.5" thickBot="1" x14ac:dyDescent="0.25">
      <c r="B30" s="20"/>
      <c r="C30" s="640" t="s">
        <v>337</v>
      </c>
      <c r="D30" s="642">
        <f>ROUND((G30*$J$1)*I30,-1)</f>
        <v>216030</v>
      </c>
      <c r="E30" s="642">
        <v>225000</v>
      </c>
      <c r="F30" s="76">
        <f t="shared" si="3"/>
        <v>5</v>
      </c>
      <c r="G30" s="642">
        <v>215500</v>
      </c>
      <c r="H30" s="14">
        <f t="shared" si="1"/>
        <v>210000</v>
      </c>
      <c r="I30" s="1114">
        <f t="shared" si="2"/>
        <v>0.90387710877069161</v>
      </c>
      <c r="J30" s="1114">
        <v>6035.6677672829992</v>
      </c>
      <c r="K30" s="1114">
        <v>216035.66776728301</v>
      </c>
      <c r="L30" s="4">
        <v>239010</v>
      </c>
    </row>
    <row r="31" spans="2:12" ht="13.5" thickBot="1" x14ac:dyDescent="0.25">
      <c r="B31" s="20"/>
      <c r="C31" s="640" t="s">
        <v>338</v>
      </c>
      <c r="D31" s="642">
        <f t="shared" si="0"/>
        <v>216040</v>
      </c>
      <c r="E31" s="642">
        <v>225000</v>
      </c>
      <c r="F31" s="76">
        <f t="shared" si="3"/>
        <v>5</v>
      </c>
      <c r="G31" s="642">
        <v>233000</v>
      </c>
      <c r="H31" s="14">
        <f t="shared" si="1"/>
        <v>210000</v>
      </c>
      <c r="I31" s="1114">
        <f t="shared" si="2"/>
        <v>0.83601899217245079</v>
      </c>
      <c r="J31" s="1114">
        <v>6035.6677672829992</v>
      </c>
      <c r="K31" s="1114">
        <v>216035.66776728301</v>
      </c>
      <c r="L31" s="4">
        <v>258410</v>
      </c>
    </row>
    <row r="32" spans="2:12" ht="13.5" thickBot="1" x14ac:dyDescent="0.25">
      <c r="B32" s="20"/>
      <c r="C32" s="640" t="s">
        <v>339</v>
      </c>
      <c r="D32" s="642">
        <f t="shared" si="0"/>
        <v>215940</v>
      </c>
      <c r="E32" s="642">
        <v>225000</v>
      </c>
      <c r="F32" s="76">
        <f t="shared" si="3"/>
        <v>5</v>
      </c>
      <c r="G32" s="642">
        <v>229100</v>
      </c>
      <c r="H32" s="14">
        <f t="shared" si="1"/>
        <v>210000</v>
      </c>
      <c r="I32" s="1114">
        <f t="shared" si="2"/>
        <v>0.84986161777315128</v>
      </c>
      <c r="J32" s="1114">
        <v>5941.3384599800002</v>
      </c>
      <c r="K32" s="1114">
        <v>215941.33845998</v>
      </c>
      <c r="L32" s="4">
        <v>254090</v>
      </c>
    </row>
    <row r="33" spans="2:12" ht="13.5" thickBot="1" x14ac:dyDescent="0.25">
      <c r="B33" s="20"/>
      <c r="C33" s="640" t="s">
        <v>340</v>
      </c>
      <c r="D33" s="642">
        <f t="shared" si="0"/>
        <v>215940</v>
      </c>
      <c r="E33" s="642">
        <v>225000</v>
      </c>
      <c r="F33" s="76">
        <f t="shared" si="3"/>
        <v>5</v>
      </c>
      <c r="G33" s="642">
        <v>207100</v>
      </c>
      <c r="H33" s="14">
        <f t="shared" si="1"/>
        <v>210000</v>
      </c>
      <c r="I33" s="1114">
        <f t="shared" si="2"/>
        <v>0.94014253324036745</v>
      </c>
      <c r="J33" s="1114">
        <v>5941.3384599800002</v>
      </c>
      <c r="K33" s="1114">
        <v>215941.33845998</v>
      </c>
      <c r="L33" s="4">
        <v>229690</v>
      </c>
    </row>
    <row r="34" spans="2:12" ht="13.5" thickBot="1" x14ac:dyDescent="0.25">
      <c r="B34" s="20"/>
      <c r="C34" s="640" t="s">
        <v>341</v>
      </c>
      <c r="D34" s="642">
        <f t="shared" si="0"/>
        <v>216040</v>
      </c>
      <c r="E34" s="642">
        <v>225000</v>
      </c>
      <c r="F34" s="76">
        <f t="shared" si="3"/>
        <v>5</v>
      </c>
      <c r="G34" s="642">
        <v>210800</v>
      </c>
      <c r="H34" s="14">
        <f t="shared" si="1"/>
        <v>210000</v>
      </c>
      <c r="I34" s="1114">
        <f t="shared" si="2"/>
        <v>0.92405863282126277</v>
      </c>
      <c r="J34" s="1114">
        <v>6035.6677672829992</v>
      </c>
      <c r="K34" s="1114">
        <v>216035.66776728301</v>
      </c>
      <c r="L34" s="4">
        <v>233790</v>
      </c>
    </row>
    <row r="35" spans="2:12" ht="13.5" thickBot="1" x14ac:dyDescent="0.25">
      <c r="B35" s="20"/>
      <c r="C35" s="640" t="s">
        <v>342</v>
      </c>
      <c r="D35" s="642">
        <f t="shared" si="0"/>
        <v>216040</v>
      </c>
      <c r="E35" s="642">
        <v>225000</v>
      </c>
      <c r="F35" s="76">
        <f t="shared" si="3"/>
        <v>5</v>
      </c>
      <c r="G35" s="642">
        <v>210800</v>
      </c>
      <c r="H35" s="14">
        <f t="shared" si="1"/>
        <v>210000</v>
      </c>
      <c r="I35" s="1114">
        <f t="shared" si="2"/>
        <v>0.92405863282126277</v>
      </c>
      <c r="J35" s="1114">
        <v>6035.6677672829992</v>
      </c>
      <c r="K35" s="1114">
        <v>216035.66776728301</v>
      </c>
      <c r="L35" s="4">
        <v>233790</v>
      </c>
    </row>
    <row r="36" spans="2:12" ht="13.5" thickBot="1" x14ac:dyDescent="0.25">
      <c r="B36" s="20"/>
      <c r="C36" s="640" t="s">
        <v>343</v>
      </c>
      <c r="D36" s="642">
        <f t="shared" si="0"/>
        <v>215920</v>
      </c>
      <c r="E36" s="642">
        <v>225000</v>
      </c>
      <c r="F36" s="76">
        <f t="shared" si="3"/>
        <v>5</v>
      </c>
      <c r="G36" s="642">
        <v>207100</v>
      </c>
      <c r="H36" s="14">
        <f t="shared" si="1"/>
        <v>210000</v>
      </c>
      <c r="I36" s="1114">
        <f t="shared" si="2"/>
        <v>0.94004552657930252</v>
      </c>
      <c r="J36" s="1114">
        <v>5919.0569999999998</v>
      </c>
      <c r="K36" s="1114">
        <v>215919.057</v>
      </c>
      <c r="L36" s="4">
        <v>229690</v>
      </c>
    </row>
    <row r="37" spans="2:12" ht="13.5" thickBot="1" x14ac:dyDescent="0.25">
      <c r="B37" s="20"/>
      <c r="C37" s="640" t="s">
        <v>344</v>
      </c>
      <c r="D37" s="642">
        <f t="shared" si="0"/>
        <v>215940</v>
      </c>
      <c r="E37" s="642">
        <v>225000</v>
      </c>
      <c r="F37" s="76">
        <f t="shared" si="3"/>
        <v>5</v>
      </c>
      <c r="G37" s="642">
        <v>229100</v>
      </c>
      <c r="H37" s="14">
        <f t="shared" si="1"/>
        <v>210000</v>
      </c>
      <c r="I37" s="1114">
        <f t="shared" si="2"/>
        <v>0.84986161777315128</v>
      </c>
      <c r="J37" s="1114">
        <v>5941.3384599800002</v>
      </c>
      <c r="K37" s="1114">
        <v>215941.33845998</v>
      </c>
      <c r="L37" s="4">
        <v>254090</v>
      </c>
    </row>
    <row r="38" spans="2:12" ht="13.5" thickBot="1" x14ac:dyDescent="0.25">
      <c r="B38" s="20"/>
      <c r="C38" s="640" t="s">
        <v>345</v>
      </c>
      <c r="D38" s="642">
        <f t="shared" si="0"/>
        <v>216040</v>
      </c>
      <c r="E38" s="642">
        <v>225000</v>
      </c>
      <c r="F38" s="76">
        <f t="shared" si="3"/>
        <v>5</v>
      </c>
      <c r="G38" s="642">
        <v>233000</v>
      </c>
      <c r="H38" s="14">
        <f t="shared" si="1"/>
        <v>210000</v>
      </c>
      <c r="I38" s="1114">
        <f t="shared" si="2"/>
        <v>0.83601899217245079</v>
      </c>
      <c r="J38" s="1114">
        <v>6035.6677672829992</v>
      </c>
      <c r="K38" s="1114">
        <v>216035.66776728301</v>
      </c>
      <c r="L38" s="4">
        <v>258410</v>
      </c>
    </row>
    <row r="39" spans="2:12" ht="13.5" thickBot="1" x14ac:dyDescent="0.25">
      <c r="B39" s="20"/>
      <c r="C39" s="640" t="s">
        <v>346</v>
      </c>
      <c r="D39" s="642">
        <f t="shared" si="0"/>
        <v>246040</v>
      </c>
      <c r="E39" s="642">
        <v>225000</v>
      </c>
      <c r="F39" s="76">
        <f t="shared" si="3"/>
        <v>5</v>
      </c>
      <c r="G39" s="642">
        <v>233000</v>
      </c>
      <c r="H39" s="14" t="str">
        <f>IF(D39&gt;=$J$8,$J$7,"Não alterar")</f>
        <v>Não alterar</v>
      </c>
      <c r="I39" s="1114">
        <f t="shared" si="2"/>
        <v>0.95211357055564028</v>
      </c>
      <c r="J39" s="1114">
        <v>6035.6677672829992</v>
      </c>
      <c r="K39" s="1114">
        <v>246035.66776728301</v>
      </c>
      <c r="L39" s="4">
        <v>258410</v>
      </c>
    </row>
    <row r="40" spans="2:12" ht="13.5" thickBot="1" x14ac:dyDescent="0.25">
      <c r="B40" s="20"/>
      <c r="C40" s="640" t="s">
        <v>347</v>
      </c>
      <c r="D40" s="642">
        <f>ROUND((G40*$J$1)*I40,-1)</f>
        <v>245940</v>
      </c>
      <c r="E40" s="642">
        <v>225000</v>
      </c>
      <c r="F40" s="76">
        <f t="shared" si="3"/>
        <v>5</v>
      </c>
      <c r="G40" s="642">
        <v>229100</v>
      </c>
      <c r="H40" s="14" t="str">
        <f t="shared" ref="H40:H103" si="4">IF(D40&gt;=$J$8,$J$7,"Não alterar")</f>
        <v>Não alterar</v>
      </c>
      <c r="I40" s="1114">
        <f t="shared" si="2"/>
        <v>0.96793001873344098</v>
      </c>
      <c r="J40" s="1114">
        <v>5941.3384599800002</v>
      </c>
      <c r="K40" s="1114">
        <v>245941.33845998</v>
      </c>
      <c r="L40" s="4">
        <v>254090</v>
      </c>
    </row>
    <row r="41" spans="2:12" ht="13.5" thickBot="1" x14ac:dyDescent="0.25">
      <c r="B41" s="20"/>
      <c r="C41" s="640" t="s">
        <v>348</v>
      </c>
      <c r="D41" s="642">
        <f t="shared" si="0"/>
        <v>245940</v>
      </c>
      <c r="E41" s="642">
        <v>225000</v>
      </c>
      <c r="F41" s="76">
        <f t="shared" si="3"/>
        <v>5</v>
      </c>
      <c r="G41" s="642">
        <v>224600</v>
      </c>
      <c r="H41" s="14" t="str">
        <f t="shared" si="4"/>
        <v>Não alterar</v>
      </c>
      <c r="I41" s="1114">
        <f t="shared" si="2"/>
        <v>0.98731970477711761</v>
      </c>
      <c r="J41" s="1114">
        <v>5941.3384599800002</v>
      </c>
      <c r="K41" s="1114">
        <v>245941.33845998</v>
      </c>
      <c r="L41" s="4">
        <v>249100</v>
      </c>
    </row>
    <row r="42" spans="2:12" ht="13.5" thickBot="1" x14ac:dyDescent="0.25">
      <c r="B42" s="20"/>
      <c r="C42" s="640" t="s">
        <v>349</v>
      </c>
      <c r="D42" s="642">
        <f t="shared" si="0"/>
        <v>246040</v>
      </c>
      <c r="E42" s="642">
        <v>225000</v>
      </c>
      <c r="F42" s="76">
        <f t="shared" si="3"/>
        <v>5</v>
      </c>
      <c r="G42" s="642">
        <v>228300</v>
      </c>
      <c r="H42" s="14" t="str">
        <f t="shared" si="4"/>
        <v>Não alterar</v>
      </c>
      <c r="I42" s="1114">
        <f t="shared" si="2"/>
        <v>0.97170484900190768</v>
      </c>
      <c r="J42" s="1114">
        <v>6035.6677672829992</v>
      </c>
      <c r="K42" s="1114">
        <v>246035.66776728301</v>
      </c>
      <c r="L42" s="4">
        <v>253200</v>
      </c>
    </row>
    <row r="43" spans="2:12" ht="13.5" thickBot="1" x14ac:dyDescent="0.25">
      <c r="B43" s="20"/>
      <c r="C43" s="640" t="s">
        <v>350</v>
      </c>
      <c r="D43" s="642">
        <f t="shared" si="0"/>
        <v>246040</v>
      </c>
      <c r="E43" s="642">
        <v>225000</v>
      </c>
      <c r="F43" s="76">
        <f t="shared" si="3"/>
        <v>5</v>
      </c>
      <c r="G43" s="642">
        <v>228300</v>
      </c>
      <c r="H43" s="14" t="str">
        <f t="shared" si="4"/>
        <v>Não alterar</v>
      </c>
      <c r="I43" s="1114">
        <f t="shared" si="2"/>
        <v>0.97170484900190768</v>
      </c>
      <c r="J43" s="1114">
        <v>6035.6677672829992</v>
      </c>
      <c r="K43" s="1114">
        <v>246035.66776728301</v>
      </c>
      <c r="L43" s="4">
        <v>253200</v>
      </c>
    </row>
    <row r="44" spans="2:12" ht="13.5" thickBot="1" x14ac:dyDescent="0.25">
      <c r="B44" s="20"/>
      <c r="C44" s="640" t="s">
        <v>351</v>
      </c>
      <c r="D44" s="642">
        <f t="shared" si="0"/>
        <v>245940</v>
      </c>
      <c r="E44" s="642">
        <v>225000</v>
      </c>
      <c r="F44" s="76">
        <f t="shared" si="3"/>
        <v>5</v>
      </c>
      <c r="G44" s="642">
        <v>224600</v>
      </c>
      <c r="H44" s="14" t="str">
        <f t="shared" si="4"/>
        <v>Não alterar</v>
      </c>
      <c r="I44" s="1114">
        <f t="shared" si="2"/>
        <v>0.98731970477711761</v>
      </c>
      <c r="J44" s="1114">
        <v>5941.3384599800002</v>
      </c>
      <c r="K44" s="1114">
        <v>245941.33845998</v>
      </c>
      <c r="L44" s="4">
        <v>249100</v>
      </c>
    </row>
    <row r="45" spans="2:12" ht="13.5" thickBot="1" x14ac:dyDescent="0.25">
      <c r="B45" s="20"/>
      <c r="C45" s="640" t="s">
        <v>352</v>
      </c>
      <c r="D45" s="642">
        <f t="shared" si="0"/>
        <v>245940</v>
      </c>
      <c r="E45" s="642">
        <v>225000</v>
      </c>
      <c r="F45" s="76">
        <f t="shared" si="3"/>
        <v>5</v>
      </c>
      <c r="G45" s="642">
        <v>229100</v>
      </c>
      <c r="H45" s="14" t="str">
        <f t="shared" si="4"/>
        <v>Não alterar</v>
      </c>
      <c r="I45" s="1114">
        <f t="shared" si="2"/>
        <v>0.96793001873344098</v>
      </c>
      <c r="J45" s="1114">
        <v>5941.3384599800002</v>
      </c>
      <c r="K45" s="1114">
        <v>245941.33845998</v>
      </c>
      <c r="L45" s="4">
        <v>254090</v>
      </c>
    </row>
    <row r="46" spans="2:12" ht="13.5" thickBot="1" x14ac:dyDescent="0.25">
      <c r="B46" s="20"/>
      <c r="C46" s="640" t="s">
        <v>353</v>
      </c>
      <c r="D46" s="642">
        <f t="shared" si="0"/>
        <v>246040</v>
      </c>
      <c r="E46" s="642">
        <v>225000</v>
      </c>
      <c r="F46" s="76">
        <f t="shared" si="3"/>
        <v>5</v>
      </c>
      <c r="G46" s="642">
        <v>233000</v>
      </c>
      <c r="H46" s="14" t="str">
        <f t="shared" si="4"/>
        <v>Não alterar</v>
      </c>
      <c r="I46" s="1114">
        <f t="shared" si="2"/>
        <v>0.95211357055564028</v>
      </c>
      <c r="J46" s="1114">
        <v>6035.6677672829992</v>
      </c>
      <c r="K46" s="1114">
        <v>246035.66776728301</v>
      </c>
      <c r="L46" s="4">
        <v>258410</v>
      </c>
    </row>
    <row r="47" spans="2:12" ht="13.5" thickBot="1" x14ac:dyDescent="0.25">
      <c r="B47" s="20"/>
      <c r="C47" s="640" t="s">
        <v>354</v>
      </c>
      <c r="D47" s="642">
        <f t="shared" si="0"/>
        <v>246030</v>
      </c>
      <c r="E47" s="642">
        <v>225000</v>
      </c>
      <c r="F47" s="76">
        <f t="shared" si="3"/>
        <v>5</v>
      </c>
      <c r="G47" s="642">
        <v>235400</v>
      </c>
      <c r="H47" s="14" t="str">
        <f t="shared" si="4"/>
        <v>Não alterar</v>
      </c>
      <c r="I47" s="1114">
        <f t="shared" si="2"/>
        <v>0.94237654269680948</v>
      </c>
      <c r="J47" s="1114">
        <v>6035.6677672829992</v>
      </c>
      <c r="K47" s="1114">
        <v>246035.66776728301</v>
      </c>
      <c r="L47" s="4">
        <v>261080</v>
      </c>
    </row>
    <row r="48" spans="2:12" ht="13.5" thickBot="1" x14ac:dyDescent="0.25">
      <c r="B48" s="20"/>
      <c r="C48" s="640" t="s">
        <v>355</v>
      </c>
      <c r="D48" s="642">
        <f t="shared" si="0"/>
        <v>245940</v>
      </c>
      <c r="E48" s="642">
        <v>225000</v>
      </c>
      <c r="F48" s="76">
        <f t="shared" si="3"/>
        <v>5</v>
      </c>
      <c r="G48" s="642">
        <v>231500</v>
      </c>
      <c r="H48" s="14" t="str">
        <f t="shared" si="4"/>
        <v>Não alterar</v>
      </c>
      <c r="I48" s="1114">
        <f t="shared" si="2"/>
        <v>0.95790199984412849</v>
      </c>
      <c r="J48" s="1114">
        <v>5941.3384599800002</v>
      </c>
      <c r="K48" s="1114">
        <v>245941.33845998</v>
      </c>
      <c r="L48" s="4">
        <v>256750</v>
      </c>
    </row>
    <row r="49" spans="2:12" ht="13.5" thickBot="1" x14ac:dyDescent="0.25">
      <c r="B49" s="20"/>
      <c r="C49" s="640" t="s">
        <v>356</v>
      </c>
      <c r="D49" s="642">
        <f t="shared" si="0"/>
        <v>245940</v>
      </c>
      <c r="E49" s="642">
        <v>225000</v>
      </c>
      <c r="F49" s="76">
        <f t="shared" si="3"/>
        <v>5</v>
      </c>
      <c r="G49" s="642">
        <v>226900</v>
      </c>
      <c r="H49" s="14" t="str">
        <f t="shared" si="4"/>
        <v>Não alterar</v>
      </c>
      <c r="I49" s="1114">
        <f t="shared" si="2"/>
        <v>0.97731507434921516</v>
      </c>
      <c r="J49" s="1114">
        <v>5941.3384599800002</v>
      </c>
      <c r="K49" s="1114">
        <v>245941.33845998</v>
      </c>
      <c r="L49" s="4">
        <v>251650</v>
      </c>
    </row>
    <row r="50" spans="2:12" ht="13.5" thickBot="1" x14ac:dyDescent="0.25">
      <c r="B50" s="20"/>
      <c r="C50" s="640" t="s">
        <v>357</v>
      </c>
      <c r="D50" s="642">
        <f t="shared" si="0"/>
        <v>246040</v>
      </c>
      <c r="E50" s="642">
        <v>225000</v>
      </c>
      <c r="F50" s="76">
        <f t="shared" si="3"/>
        <v>5</v>
      </c>
      <c r="G50" s="642">
        <v>230700</v>
      </c>
      <c r="H50" s="14" t="str">
        <f t="shared" si="4"/>
        <v>Não alterar</v>
      </c>
      <c r="I50" s="1114">
        <f t="shared" si="2"/>
        <v>0.96160270369453227</v>
      </c>
      <c r="J50" s="1114">
        <v>6035.6677672829992</v>
      </c>
      <c r="K50" s="1114">
        <v>246035.66776728301</v>
      </c>
      <c r="L50" s="4">
        <v>255860</v>
      </c>
    </row>
    <row r="51" spans="2:12" ht="13.5" thickBot="1" x14ac:dyDescent="0.25">
      <c r="B51" s="20"/>
      <c r="C51" s="640" t="s">
        <v>358</v>
      </c>
      <c r="D51" s="642">
        <f t="shared" si="0"/>
        <v>246040</v>
      </c>
      <c r="E51" s="642">
        <v>225000</v>
      </c>
      <c r="F51" s="76">
        <f t="shared" si="3"/>
        <v>5</v>
      </c>
      <c r="G51" s="642">
        <v>230700</v>
      </c>
      <c r="H51" s="14" t="str">
        <f t="shared" si="4"/>
        <v>Não alterar</v>
      </c>
      <c r="I51" s="1114">
        <f t="shared" si="2"/>
        <v>0.96160270369453227</v>
      </c>
      <c r="J51" s="1114">
        <v>6035.6677672829992</v>
      </c>
      <c r="K51" s="1114">
        <v>246035.66776728301</v>
      </c>
      <c r="L51" s="4">
        <v>255860</v>
      </c>
    </row>
    <row r="52" spans="2:12" ht="13.5" thickBot="1" x14ac:dyDescent="0.25">
      <c r="B52" s="20"/>
      <c r="C52" s="640" t="s">
        <v>359</v>
      </c>
      <c r="D52" s="642">
        <f t="shared" si="0"/>
        <v>245940</v>
      </c>
      <c r="E52" s="642">
        <v>225000</v>
      </c>
      <c r="F52" s="76">
        <f t="shared" si="3"/>
        <v>5</v>
      </c>
      <c r="G52" s="642">
        <v>226900</v>
      </c>
      <c r="H52" s="14" t="str">
        <f t="shared" si="4"/>
        <v>Não alterar</v>
      </c>
      <c r="I52" s="1114">
        <f t="shared" si="2"/>
        <v>0.97731507434921516</v>
      </c>
      <c r="J52" s="1114">
        <v>5941.3384599800002</v>
      </c>
      <c r="K52" s="1114">
        <v>245941.33845998</v>
      </c>
      <c r="L52" s="4">
        <v>251650</v>
      </c>
    </row>
    <row r="53" spans="2:12" ht="13.5" thickBot="1" x14ac:dyDescent="0.25">
      <c r="B53" s="20"/>
      <c r="C53" s="640" t="s">
        <v>360</v>
      </c>
      <c r="D53" s="642">
        <f t="shared" si="0"/>
        <v>245940</v>
      </c>
      <c r="E53" s="642">
        <v>225000</v>
      </c>
      <c r="F53" s="76">
        <f t="shared" si="3"/>
        <v>5</v>
      </c>
      <c r="G53" s="642">
        <v>231500</v>
      </c>
      <c r="H53" s="14" t="str">
        <f t="shared" si="4"/>
        <v>Não alterar</v>
      </c>
      <c r="I53" s="1114">
        <f t="shared" si="2"/>
        <v>0.95790199984412849</v>
      </c>
      <c r="J53" s="1114">
        <v>5941.3384599800002</v>
      </c>
      <c r="K53" s="1114">
        <v>245941.33845998</v>
      </c>
      <c r="L53" s="4">
        <v>256750</v>
      </c>
    </row>
    <row r="54" spans="2:12" ht="13.5" thickBot="1" x14ac:dyDescent="0.25">
      <c r="B54" s="20"/>
      <c r="C54" s="640" t="s">
        <v>361</v>
      </c>
      <c r="D54" s="642">
        <f t="shared" si="0"/>
        <v>246030</v>
      </c>
      <c r="E54" s="642">
        <v>225000</v>
      </c>
      <c r="F54" s="76">
        <f t="shared" si="3"/>
        <v>5</v>
      </c>
      <c r="G54" s="642">
        <v>235400</v>
      </c>
      <c r="H54" s="14" t="str">
        <f t="shared" si="4"/>
        <v>Não alterar</v>
      </c>
      <c r="I54" s="1114">
        <f t="shared" si="2"/>
        <v>0.94237654269680948</v>
      </c>
      <c r="J54" s="1114">
        <v>6035.6677672829992</v>
      </c>
      <c r="K54" s="1114">
        <v>246035.66776728301</v>
      </c>
      <c r="L54" s="4">
        <v>261080</v>
      </c>
    </row>
    <row r="55" spans="2:12" ht="13.5" thickBot="1" x14ac:dyDescent="0.25">
      <c r="B55" s="20"/>
      <c r="C55" s="640" t="s">
        <v>362</v>
      </c>
      <c r="D55" s="642">
        <f t="shared" si="0"/>
        <v>246030</v>
      </c>
      <c r="E55" s="642">
        <v>225000</v>
      </c>
      <c r="F55" s="76">
        <f t="shared" si="3"/>
        <v>5</v>
      </c>
      <c r="G55" s="642">
        <v>235400</v>
      </c>
      <c r="H55" s="14" t="str">
        <f t="shared" si="4"/>
        <v>Não alterar</v>
      </c>
      <c r="I55" s="1114">
        <f t="shared" si="2"/>
        <v>0.94237654269680948</v>
      </c>
      <c r="J55" s="1114">
        <v>6035.6677672829992</v>
      </c>
      <c r="K55" s="1114">
        <v>246035.66776728301</v>
      </c>
      <c r="L55" s="4">
        <v>261080</v>
      </c>
    </row>
    <row r="56" spans="2:12" ht="13.5" thickBot="1" x14ac:dyDescent="0.25">
      <c r="B56" s="20"/>
      <c r="C56" s="640" t="s">
        <v>363</v>
      </c>
      <c r="D56" s="642">
        <f t="shared" si="0"/>
        <v>245940</v>
      </c>
      <c r="E56" s="642">
        <v>225000</v>
      </c>
      <c r="F56" s="76">
        <f t="shared" si="3"/>
        <v>5</v>
      </c>
      <c r="G56" s="642">
        <v>231500</v>
      </c>
      <c r="H56" s="14" t="str">
        <f t="shared" si="4"/>
        <v>Não alterar</v>
      </c>
      <c r="I56" s="1114">
        <f t="shared" si="2"/>
        <v>0.95790199984412849</v>
      </c>
      <c r="J56" s="1114">
        <v>5941.3384599800002</v>
      </c>
      <c r="K56" s="1114">
        <v>245941.33845998</v>
      </c>
      <c r="L56" s="4">
        <v>256750</v>
      </c>
    </row>
    <row r="57" spans="2:12" ht="13.5" thickBot="1" x14ac:dyDescent="0.25">
      <c r="B57" s="20"/>
      <c r="C57" s="640" t="s">
        <v>364</v>
      </c>
      <c r="D57" s="642">
        <f t="shared" si="0"/>
        <v>245940</v>
      </c>
      <c r="E57" s="642">
        <v>225000</v>
      </c>
      <c r="F57" s="76">
        <f t="shared" si="3"/>
        <v>5</v>
      </c>
      <c r="G57" s="642">
        <v>226900</v>
      </c>
      <c r="H57" s="14" t="str">
        <f t="shared" si="4"/>
        <v>Não alterar</v>
      </c>
      <c r="I57" s="1114">
        <f t="shared" si="2"/>
        <v>0.97731507434921516</v>
      </c>
      <c r="J57" s="1114">
        <v>5941.3384599800002</v>
      </c>
      <c r="K57" s="1114">
        <v>245941.33845998</v>
      </c>
      <c r="L57" s="4">
        <v>251650</v>
      </c>
    </row>
    <row r="58" spans="2:12" ht="13.5" thickBot="1" x14ac:dyDescent="0.25">
      <c r="B58" s="20"/>
      <c r="C58" s="640" t="s">
        <v>365</v>
      </c>
      <c r="D58" s="642">
        <f t="shared" si="0"/>
        <v>246040</v>
      </c>
      <c r="E58" s="642">
        <v>225000</v>
      </c>
      <c r="F58" s="76">
        <f t="shared" si="3"/>
        <v>5</v>
      </c>
      <c r="G58" s="642">
        <v>230700</v>
      </c>
      <c r="H58" s="14" t="str">
        <f t="shared" si="4"/>
        <v>Não alterar</v>
      </c>
      <c r="I58" s="1114">
        <f t="shared" si="2"/>
        <v>0.96160270369453227</v>
      </c>
      <c r="J58" s="1114">
        <v>6035.6677672829992</v>
      </c>
      <c r="K58" s="1114">
        <v>246035.66776728301</v>
      </c>
      <c r="L58" s="4">
        <v>255860</v>
      </c>
    </row>
    <row r="59" spans="2:12" ht="13.5" thickBot="1" x14ac:dyDescent="0.25">
      <c r="B59" s="20"/>
      <c r="C59" s="640" t="s">
        <v>366</v>
      </c>
      <c r="D59" s="642">
        <f t="shared" si="0"/>
        <v>246040</v>
      </c>
      <c r="E59" s="642">
        <v>225000</v>
      </c>
      <c r="F59" s="76">
        <f t="shared" si="3"/>
        <v>5</v>
      </c>
      <c r="G59" s="642">
        <v>230700</v>
      </c>
      <c r="H59" s="14" t="str">
        <f t="shared" si="4"/>
        <v>Não alterar</v>
      </c>
      <c r="I59" s="1114">
        <f t="shared" si="2"/>
        <v>0.96160270369453227</v>
      </c>
      <c r="J59" s="1114">
        <v>6035.6677672829992</v>
      </c>
      <c r="K59" s="1114">
        <v>246035.66776728301</v>
      </c>
      <c r="L59" s="4">
        <v>255860</v>
      </c>
    </row>
    <row r="60" spans="2:12" ht="13.5" thickBot="1" x14ac:dyDescent="0.25">
      <c r="B60" s="20"/>
      <c r="C60" s="640" t="s">
        <v>367</v>
      </c>
      <c r="D60" s="642">
        <f t="shared" si="0"/>
        <v>245940</v>
      </c>
      <c r="E60" s="642">
        <v>225000</v>
      </c>
      <c r="F60" s="76">
        <f t="shared" si="3"/>
        <v>5</v>
      </c>
      <c r="G60" s="642">
        <v>226900</v>
      </c>
      <c r="H60" s="14" t="str">
        <f t="shared" si="4"/>
        <v>Não alterar</v>
      </c>
      <c r="I60" s="1114">
        <f t="shared" si="2"/>
        <v>0.97731507434921516</v>
      </c>
      <c r="J60" s="1114">
        <v>5941.3384599800002</v>
      </c>
      <c r="K60" s="1114">
        <v>245941.33845998</v>
      </c>
      <c r="L60" s="4">
        <v>251650</v>
      </c>
    </row>
    <row r="61" spans="2:12" ht="13.5" thickBot="1" x14ac:dyDescent="0.25">
      <c r="B61" s="20"/>
      <c r="C61" s="640" t="s">
        <v>368</v>
      </c>
      <c r="D61" s="642">
        <f t="shared" si="0"/>
        <v>245940</v>
      </c>
      <c r="E61" s="642">
        <v>225000</v>
      </c>
      <c r="F61" s="76">
        <f t="shared" si="3"/>
        <v>5</v>
      </c>
      <c r="G61" s="642">
        <v>231500</v>
      </c>
      <c r="H61" s="14" t="str">
        <f t="shared" si="4"/>
        <v>Não alterar</v>
      </c>
      <c r="I61" s="1114">
        <f t="shared" si="2"/>
        <v>0.95790199984412849</v>
      </c>
      <c r="J61" s="1114">
        <v>5941.3384599800002</v>
      </c>
      <c r="K61" s="1114">
        <v>245941.33845998</v>
      </c>
      <c r="L61" s="4">
        <v>256750</v>
      </c>
    </row>
    <row r="62" spans="2:12" ht="13.5" thickBot="1" x14ac:dyDescent="0.25">
      <c r="B62" s="20"/>
      <c r="C62" s="640" t="s">
        <v>369</v>
      </c>
      <c r="D62" s="642">
        <f t="shared" si="0"/>
        <v>246030</v>
      </c>
      <c r="E62" s="642">
        <v>225000</v>
      </c>
      <c r="F62" s="76">
        <f t="shared" si="3"/>
        <v>5</v>
      </c>
      <c r="G62" s="642">
        <v>235400</v>
      </c>
      <c r="H62" s="14" t="str">
        <f t="shared" si="4"/>
        <v>Não alterar</v>
      </c>
      <c r="I62" s="1114">
        <f t="shared" si="2"/>
        <v>0.94237654269680948</v>
      </c>
      <c r="J62" s="1114">
        <v>6035.6677672829992</v>
      </c>
      <c r="K62" s="1114">
        <v>246035.66776728301</v>
      </c>
      <c r="L62" s="4">
        <v>261080</v>
      </c>
    </row>
    <row r="63" spans="2:12" ht="13.5" thickBot="1" x14ac:dyDescent="0.25">
      <c r="B63" s="20"/>
      <c r="C63" s="640" t="s">
        <v>370</v>
      </c>
      <c r="D63" s="642">
        <f t="shared" si="0"/>
        <v>246030</v>
      </c>
      <c r="E63" s="642">
        <v>225000</v>
      </c>
      <c r="F63" s="76">
        <f t="shared" si="3"/>
        <v>5</v>
      </c>
      <c r="G63" s="642">
        <v>235400</v>
      </c>
      <c r="H63" s="14" t="str">
        <f t="shared" si="4"/>
        <v>Não alterar</v>
      </c>
      <c r="I63" s="1114">
        <f t="shared" si="2"/>
        <v>0.94237654269680948</v>
      </c>
      <c r="J63" s="1114">
        <v>6035.6677672829992</v>
      </c>
      <c r="K63" s="1114">
        <v>246035.66776728301</v>
      </c>
      <c r="L63" s="4">
        <v>261080</v>
      </c>
    </row>
    <row r="64" spans="2:12" ht="13.5" thickBot="1" x14ac:dyDescent="0.25">
      <c r="B64" s="20"/>
      <c r="C64" s="640" t="s">
        <v>371</v>
      </c>
      <c r="D64" s="642">
        <f t="shared" si="0"/>
        <v>245940</v>
      </c>
      <c r="E64" s="642">
        <v>225000</v>
      </c>
      <c r="F64" s="76">
        <f t="shared" si="3"/>
        <v>5</v>
      </c>
      <c r="G64" s="642">
        <v>231500</v>
      </c>
      <c r="H64" s="14" t="str">
        <f t="shared" si="4"/>
        <v>Não alterar</v>
      </c>
      <c r="I64" s="1114">
        <f t="shared" si="2"/>
        <v>0.95790199984412849</v>
      </c>
      <c r="J64" s="1114">
        <v>5941.3384599800002</v>
      </c>
      <c r="K64" s="1114">
        <v>245941.33845998</v>
      </c>
      <c r="L64" s="4">
        <v>256750</v>
      </c>
    </row>
    <row r="65" spans="2:12" ht="13.5" thickBot="1" x14ac:dyDescent="0.25">
      <c r="B65" s="20"/>
      <c r="C65" s="640" t="s">
        <v>372</v>
      </c>
      <c r="D65" s="642">
        <f t="shared" si="0"/>
        <v>245940</v>
      </c>
      <c r="E65" s="642">
        <v>225000</v>
      </c>
      <c r="F65" s="76">
        <f t="shared" si="3"/>
        <v>5</v>
      </c>
      <c r="G65" s="642">
        <v>226900</v>
      </c>
      <c r="H65" s="14" t="str">
        <f t="shared" si="4"/>
        <v>Não alterar</v>
      </c>
      <c r="I65" s="1114">
        <f t="shared" si="2"/>
        <v>0.97731507434921516</v>
      </c>
      <c r="J65" s="1114">
        <v>5941.3384599800002</v>
      </c>
      <c r="K65" s="1114">
        <v>245941.33845998</v>
      </c>
      <c r="L65" s="4">
        <v>251650</v>
      </c>
    </row>
    <row r="66" spans="2:12" ht="13.5" thickBot="1" x14ac:dyDescent="0.25">
      <c r="B66" s="20"/>
      <c r="C66" s="640" t="s">
        <v>373</v>
      </c>
      <c r="D66" s="642">
        <f t="shared" si="0"/>
        <v>246040</v>
      </c>
      <c r="E66" s="642">
        <v>225000</v>
      </c>
      <c r="F66" s="76">
        <f t="shared" si="3"/>
        <v>5</v>
      </c>
      <c r="G66" s="642">
        <v>230700</v>
      </c>
      <c r="H66" s="14" t="str">
        <f t="shared" si="4"/>
        <v>Não alterar</v>
      </c>
      <c r="I66" s="1114">
        <f t="shared" si="2"/>
        <v>0.96160270369453227</v>
      </c>
      <c r="J66" s="1114">
        <v>6035.6677672829992</v>
      </c>
      <c r="K66" s="1114">
        <v>246035.66776728301</v>
      </c>
      <c r="L66" s="4">
        <v>255860</v>
      </c>
    </row>
    <row r="67" spans="2:12" ht="13.5" thickBot="1" x14ac:dyDescent="0.25">
      <c r="B67" s="20"/>
      <c r="C67" s="640" t="s">
        <v>374</v>
      </c>
      <c r="D67" s="642">
        <f t="shared" si="0"/>
        <v>246040</v>
      </c>
      <c r="E67" s="642">
        <v>225000</v>
      </c>
      <c r="F67" s="76">
        <f t="shared" si="3"/>
        <v>5</v>
      </c>
      <c r="G67" s="642">
        <v>230700</v>
      </c>
      <c r="H67" s="14" t="str">
        <f t="shared" si="4"/>
        <v>Não alterar</v>
      </c>
      <c r="I67" s="1114">
        <f t="shared" si="2"/>
        <v>0.96160270369453227</v>
      </c>
      <c r="J67" s="1114">
        <v>6035.6677672829992</v>
      </c>
      <c r="K67" s="1114">
        <v>246035.66776728301</v>
      </c>
      <c r="L67" s="4">
        <v>255860</v>
      </c>
    </row>
    <row r="68" spans="2:12" ht="13.5" thickBot="1" x14ac:dyDescent="0.25">
      <c r="B68" s="20"/>
      <c r="C68" s="640" t="s">
        <v>375</v>
      </c>
      <c r="D68" s="642">
        <f t="shared" si="0"/>
        <v>245940</v>
      </c>
      <c r="E68" s="642">
        <v>225000</v>
      </c>
      <c r="F68" s="76">
        <f t="shared" si="3"/>
        <v>5</v>
      </c>
      <c r="G68" s="642">
        <v>226900</v>
      </c>
      <c r="H68" s="14" t="str">
        <f t="shared" si="4"/>
        <v>Não alterar</v>
      </c>
      <c r="I68" s="1114">
        <f t="shared" si="2"/>
        <v>0.97731507434921516</v>
      </c>
      <c r="J68" s="1114">
        <v>5941.3384599800002</v>
      </c>
      <c r="K68" s="1114">
        <v>245941.33845998</v>
      </c>
      <c r="L68" s="4">
        <v>251650</v>
      </c>
    </row>
    <row r="69" spans="2:12" ht="13.5" thickBot="1" x14ac:dyDescent="0.25">
      <c r="B69" s="20"/>
      <c r="C69" s="640" t="s">
        <v>376</v>
      </c>
      <c r="D69" s="642">
        <f t="shared" si="0"/>
        <v>245940</v>
      </c>
      <c r="E69" s="642">
        <v>225000</v>
      </c>
      <c r="F69" s="76">
        <f t="shared" si="3"/>
        <v>5</v>
      </c>
      <c r="G69" s="642">
        <v>231500</v>
      </c>
      <c r="H69" s="14" t="str">
        <f t="shared" si="4"/>
        <v>Não alterar</v>
      </c>
      <c r="I69" s="1114">
        <f t="shared" si="2"/>
        <v>0.95790199984412849</v>
      </c>
      <c r="J69" s="1114">
        <v>5941.3384599800002</v>
      </c>
      <c r="K69" s="1114">
        <v>245941.33845998</v>
      </c>
      <c r="L69" s="4">
        <v>256750</v>
      </c>
    </row>
    <row r="70" spans="2:12" ht="13.5" thickBot="1" x14ac:dyDescent="0.25">
      <c r="B70" s="20"/>
      <c r="C70" s="640" t="s">
        <v>377</v>
      </c>
      <c r="D70" s="642">
        <f t="shared" si="0"/>
        <v>246030</v>
      </c>
      <c r="E70" s="642">
        <v>225000</v>
      </c>
      <c r="F70" s="76">
        <f t="shared" si="3"/>
        <v>5</v>
      </c>
      <c r="G70" s="642">
        <v>235400</v>
      </c>
      <c r="H70" s="14" t="str">
        <f t="shared" si="4"/>
        <v>Não alterar</v>
      </c>
      <c r="I70" s="1114">
        <f t="shared" si="2"/>
        <v>0.94237654269680948</v>
      </c>
      <c r="J70" s="1114">
        <v>6035.6677672829992</v>
      </c>
      <c r="K70" s="1114">
        <v>246035.66776728301</v>
      </c>
      <c r="L70" s="4">
        <v>261080</v>
      </c>
    </row>
    <row r="71" spans="2:12" ht="13.5" thickBot="1" x14ac:dyDescent="0.25">
      <c r="B71" s="20"/>
      <c r="C71" s="640" t="s">
        <v>378</v>
      </c>
      <c r="D71" s="642">
        <f t="shared" si="0"/>
        <v>246030</v>
      </c>
      <c r="E71" s="642">
        <v>225000</v>
      </c>
      <c r="F71" s="76">
        <f t="shared" si="3"/>
        <v>5</v>
      </c>
      <c r="G71" s="642">
        <v>235400</v>
      </c>
      <c r="H71" s="14" t="str">
        <f t="shared" si="4"/>
        <v>Não alterar</v>
      </c>
      <c r="I71" s="1114">
        <f t="shared" si="2"/>
        <v>0.94237654269680948</v>
      </c>
      <c r="J71" s="1114">
        <v>6035.6677672829992</v>
      </c>
      <c r="K71" s="1114">
        <v>246035.66776728301</v>
      </c>
      <c r="L71" s="4">
        <v>261080</v>
      </c>
    </row>
    <row r="72" spans="2:12" ht="13.5" thickBot="1" x14ac:dyDescent="0.25">
      <c r="B72" s="20"/>
      <c r="C72" s="640" t="s">
        <v>379</v>
      </c>
      <c r="D72" s="642">
        <f t="shared" si="0"/>
        <v>245940</v>
      </c>
      <c r="E72" s="642">
        <v>225000</v>
      </c>
      <c r="F72" s="76">
        <f t="shared" si="3"/>
        <v>5</v>
      </c>
      <c r="G72" s="642">
        <v>231500</v>
      </c>
      <c r="H72" s="14" t="str">
        <f t="shared" si="4"/>
        <v>Não alterar</v>
      </c>
      <c r="I72" s="1114">
        <f t="shared" si="2"/>
        <v>0.95790199984412849</v>
      </c>
      <c r="J72" s="1114">
        <v>5941.3384599800002</v>
      </c>
      <c r="K72" s="1114">
        <v>245941.33845998</v>
      </c>
      <c r="L72" s="4">
        <v>256750</v>
      </c>
    </row>
    <row r="73" spans="2:12" ht="13.5" thickBot="1" x14ac:dyDescent="0.25">
      <c r="B73" s="20"/>
      <c r="C73" s="640" t="s">
        <v>380</v>
      </c>
      <c r="D73" s="642">
        <f t="shared" si="0"/>
        <v>245940</v>
      </c>
      <c r="E73" s="642">
        <v>225000</v>
      </c>
      <c r="F73" s="76">
        <f t="shared" si="3"/>
        <v>5</v>
      </c>
      <c r="G73" s="642">
        <v>226900</v>
      </c>
      <c r="H73" s="14" t="str">
        <f t="shared" si="4"/>
        <v>Não alterar</v>
      </c>
      <c r="I73" s="1114">
        <f t="shared" si="2"/>
        <v>0.97731507434921516</v>
      </c>
      <c r="J73" s="1114">
        <v>5941.3384599800002</v>
      </c>
      <c r="K73" s="1114">
        <v>245941.33845998</v>
      </c>
      <c r="L73" s="4">
        <v>251650</v>
      </c>
    </row>
    <row r="74" spans="2:12" ht="13.5" thickBot="1" x14ac:dyDescent="0.25">
      <c r="B74" s="20"/>
      <c r="C74" s="640" t="s">
        <v>381</v>
      </c>
      <c r="D74" s="642">
        <f t="shared" ref="D74:D137" si="5">ROUND((G74*$J$1)*I74,-1)</f>
        <v>246040</v>
      </c>
      <c r="E74" s="642">
        <v>225000</v>
      </c>
      <c r="F74" s="76">
        <f t="shared" si="3"/>
        <v>5</v>
      </c>
      <c r="G74" s="642">
        <v>230700</v>
      </c>
      <c r="H74" s="14" t="str">
        <f t="shared" si="4"/>
        <v>Não alterar</v>
      </c>
      <c r="I74" s="1114">
        <f t="shared" ref="I74:I137" si="6">K74/L74</f>
        <v>0.96160270369453227</v>
      </c>
      <c r="J74" s="1114">
        <v>6035.6677672829992</v>
      </c>
      <c r="K74" s="1114">
        <v>246035.66776728301</v>
      </c>
      <c r="L74" s="4">
        <v>255860</v>
      </c>
    </row>
    <row r="75" spans="2:12" ht="13.5" thickBot="1" x14ac:dyDescent="0.25">
      <c r="B75" s="20"/>
      <c r="C75" s="640" t="s">
        <v>382</v>
      </c>
      <c r="D75" s="642">
        <f t="shared" si="5"/>
        <v>246040</v>
      </c>
      <c r="E75" s="642">
        <v>225000</v>
      </c>
      <c r="F75" s="76">
        <f t="shared" ref="F75:F138" si="7">F74</f>
        <v>5</v>
      </c>
      <c r="G75" s="642">
        <v>230700</v>
      </c>
      <c r="H75" s="14" t="str">
        <f t="shared" si="4"/>
        <v>Não alterar</v>
      </c>
      <c r="I75" s="1114">
        <f t="shared" si="6"/>
        <v>0.96160270369453227</v>
      </c>
      <c r="J75" s="1114">
        <v>6035.6677672829992</v>
      </c>
      <c r="K75" s="1114">
        <v>246035.66776728301</v>
      </c>
      <c r="L75" s="4">
        <v>255860</v>
      </c>
    </row>
    <row r="76" spans="2:12" ht="13.5" thickBot="1" x14ac:dyDescent="0.25">
      <c r="B76" s="20"/>
      <c r="C76" s="640" t="s">
        <v>383</v>
      </c>
      <c r="D76" s="642">
        <f t="shared" si="5"/>
        <v>245940</v>
      </c>
      <c r="E76" s="642">
        <v>225000</v>
      </c>
      <c r="F76" s="76">
        <f t="shared" si="7"/>
        <v>5</v>
      </c>
      <c r="G76" s="642">
        <v>226900</v>
      </c>
      <c r="H76" s="14" t="str">
        <f t="shared" si="4"/>
        <v>Não alterar</v>
      </c>
      <c r="I76" s="1114">
        <f t="shared" si="6"/>
        <v>0.97731507434921516</v>
      </c>
      <c r="J76" s="1114">
        <v>5941.3384599800002</v>
      </c>
      <c r="K76" s="1114">
        <v>245941.33845998</v>
      </c>
      <c r="L76" s="4">
        <v>251650</v>
      </c>
    </row>
    <row r="77" spans="2:12" ht="13.5" thickBot="1" x14ac:dyDescent="0.25">
      <c r="B77" s="20"/>
      <c r="C77" s="640" t="s">
        <v>384</v>
      </c>
      <c r="D77" s="642">
        <f t="shared" si="5"/>
        <v>245940</v>
      </c>
      <c r="E77" s="642">
        <v>225000</v>
      </c>
      <c r="F77" s="76">
        <f t="shared" si="7"/>
        <v>5</v>
      </c>
      <c r="G77" s="642">
        <v>231500</v>
      </c>
      <c r="H77" s="14" t="str">
        <f t="shared" si="4"/>
        <v>Não alterar</v>
      </c>
      <c r="I77" s="1114">
        <f t="shared" si="6"/>
        <v>0.95790199984412849</v>
      </c>
      <c r="J77" s="1114">
        <v>5941.3384599800002</v>
      </c>
      <c r="K77" s="1114">
        <v>245941.33845998</v>
      </c>
      <c r="L77" s="4">
        <v>256750</v>
      </c>
    </row>
    <row r="78" spans="2:12" ht="13.5" thickBot="1" x14ac:dyDescent="0.25">
      <c r="B78" s="20"/>
      <c r="C78" s="640" t="s">
        <v>385</v>
      </c>
      <c r="D78" s="642">
        <f t="shared" si="5"/>
        <v>246030</v>
      </c>
      <c r="E78" s="642">
        <v>225000</v>
      </c>
      <c r="F78" s="76">
        <f t="shared" si="7"/>
        <v>5</v>
      </c>
      <c r="G78" s="642">
        <v>235400</v>
      </c>
      <c r="H78" s="14" t="str">
        <f t="shared" si="4"/>
        <v>Não alterar</v>
      </c>
      <c r="I78" s="1114">
        <f t="shared" si="6"/>
        <v>0.94237654269680948</v>
      </c>
      <c r="J78" s="1114">
        <v>6035.6677672829992</v>
      </c>
      <c r="K78" s="1114">
        <v>246035.66776728301</v>
      </c>
      <c r="L78" s="4">
        <v>261080</v>
      </c>
    </row>
    <row r="79" spans="2:12" ht="13.5" thickBot="1" x14ac:dyDescent="0.25">
      <c r="B79" s="20"/>
      <c r="C79" s="640" t="s">
        <v>386</v>
      </c>
      <c r="D79" s="642">
        <f t="shared" si="5"/>
        <v>246040</v>
      </c>
      <c r="E79" s="642">
        <v>225000</v>
      </c>
      <c r="F79" s="76">
        <f t="shared" si="7"/>
        <v>5</v>
      </c>
      <c r="G79" s="642">
        <f>237800-710</f>
        <v>237090</v>
      </c>
      <c r="H79" s="14" t="str">
        <f t="shared" si="4"/>
        <v>Não alterar</v>
      </c>
      <c r="I79" s="1114">
        <f t="shared" si="6"/>
        <v>0.93567472054490597</v>
      </c>
      <c r="J79" s="1114">
        <v>6035.6677672829992</v>
      </c>
      <c r="K79" s="1114">
        <v>246035.66776728301</v>
      </c>
      <c r="L79" s="4">
        <v>262950</v>
      </c>
    </row>
    <row r="80" spans="2:12" ht="13.5" thickBot="1" x14ac:dyDescent="0.25">
      <c r="B80" s="20"/>
      <c r="C80" s="640" t="s">
        <v>387</v>
      </c>
      <c r="D80" s="642">
        <f t="shared" si="5"/>
        <v>245940</v>
      </c>
      <c r="E80" s="642">
        <v>225000</v>
      </c>
      <c r="F80" s="76">
        <f t="shared" si="7"/>
        <v>5</v>
      </c>
      <c r="G80" s="642">
        <v>233800</v>
      </c>
      <c r="H80" s="14" t="str">
        <f t="shared" si="4"/>
        <v>Não alterar</v>
      </c>
      <c r="I80" s="1114">
        <f t="shared" si="6"/>
        <v>0.94848182977238726</v>
      </c>
      <c r="J80" s="1114">
        <v>5941.3384599800002</v>
      </c>
      <c r="K80" s="1114">
        <v>245941.33845998</v>
      </c>
      <c r="L80" s="4">
        <v>259300</v>
      </c>
    </row>
    <row r="81" spans="2:12" ht="13.5" thickBot="1" x14ac:dyDescent="0.25">
      <c r="B81" s="20"/>
      <c r="C81" s="640" t="s">
        <v>388</v>
      </c>
      <c r="D81" s="642">
        <f t="shared" si="5"/>
        <v>245940</v>
      </c>
      <c r="E81" s="642">
        <v>225000</v>
      </c>
      <c r="F81" s="76">
        <f t="shared" si="7"/>
        <v>5</v>
      </c>
      <c r="G81" s="642">
        <v>229200</v>
      </c>
      <c r="H81" s="14" t="str">
        <f t="shared" si="4"/>
        <v>Não alterar</v>
      </c>
      <c r="I81" s="1114">
        <f t="shared" si="6"/>
        <v>0.96751116624697087</v>
      </c>
      <c r="J81" s="1114">
        <v>5941.3384599800002</v>
      </c>
      <c r="K81" s="1114">
        <v>245941.33845998</v>
      </c>
      <c r="L81" s="4">
        <v>254200</v>
      </c>
    </row>
    <row r="82" spans="2:12" ht="13.5" thickBot="1" x14ac:dyDescent="0.25">
      <c r="B82" s="20"/>
      <c r="C82" s="640" t="s">
        <v>389</v>
      </c>
      <c r="D82" s="642">
        <f t="shared" si="5"/>
        <v>246040</v>
      </c>
      <c r="E82" s="642">
        <v>225000</v>
      </c>
      <c r="F82" s="76">
        <f t="shared" si="7"/>
        <v>5</v>
      </c>
      <c r="G82" s="642">
        <v>233000</v>
      </c>
      <c r="H82" s="14" t="str">
        <f t="shared" si="4"/>
        <v>Não alterar</v>
      </c>
      <c r="I82" s="1114">
        <f t="shared" si="6"/>
        <v>0.95211357055564028</v>
      </c>
      <c r="J82" s="1114">
        <v>6035.6677672829992</v>
      </c>
      <c r="K82" s="1114">
        <v>246035.66776728301</v>
      </c>
      <c r="L82" s="4">
        <v>258410</v>
      </c>
    </row>
    <row r="83" spans="2:12" ht="13.5" thickBot="1" x14ac:dyDescent="0.25">
      <c r="B83" s="20"/>
      <c r="C83" s="640" t="s">
        <v>390</v>
      </c>
      <c r="D83" s="642">
        <f t="shared" si="5"/>
        <v>246040</v>
      </c>
      <c r="E83" s="642">
        <v>225000</v>
      </c>
      <c r="F83" s="76">
        <f t="shared" si="7"/>
        <v>5</v>
      </c>
      <c r="G83" s="642">
        <v>233000</v>
      </c>
      <c r="H83" s="14" t="str">
        <f t="shared" si="4"/>
        <v>Não alterar</v>
      </c>
      <c r="I83" s="1114">
        <f t="shared" si="6"/>
        <v>0.95211357055564028</v>
      </c>
      <c r="J83" s="1114">
        <v>6035.6677672829992</v>
      </c>
      <c r="K83" s="1114">
        <v>246035.66776728301</v>
      </c>
      <c r="L83" s="4">
        <v>258410</v>
      </c>
    </row>
    <row r="84" spans="2:12" ht="13.5" thickBot="1" x14ac:dyDescent="0.25">
      <c r="B84" s="20"/>
      <c r="C84" s="640" t="s">
        <v>391</v>
      </c>
      <c r="D84" s="642">
        <f t="shared" si="5"/>
        <v>245940</v>
      </c>
      <c r="E84" s="642">
        <v>225000</v>
      </c>
      <c r="F84" s="76">
        <f t="shared" si="7"/>
        <v>5</v>
      </c>
      <c r="G84" s="642">
        <v>229200</v>
      </c>
      <c r="H84" s="14" t="str">
        <f t="shared" si="4"/>
        <v>Não alterar</v>
      </c>
      <c r="I84" s="1114">
        <f t="shared" si="6"/>
        <v>0.96751116624697087</v>
      </c>
      <c r="J84" s="1114">
        <v>5941.3384599800002</v>
      </c>
      <c r="K84" s="1114">
        <v>245941.33845998</v>
      </c>
      <c r="L84" s="4">
        <v>254200</v>
      </c>
    </row>
    <row r="85" spans="2:12" ht="13.5" thickBot="1" x14ac:dyDescent="0.25">
      <c r="B85" s="20"/>
      <c r="C85" s="640" t="s">
        <v>392</v>
      </c>
      <c r="D85" s="642">
        <f t="shared" si="5"/>
        <v>245940</v>
      </c>
      <c r="E85" s="642">
        <v>225000</v>
      </c>
      <c r="F85" s="76">
        <f t="shared" si="7"/>
        <v>5</v>
      </c>
      <c r="G85" s="642">
        <v>233800</v>
      </c>
      <c r="H85" s="14" t="str">
        <f t="shared" si="4"/>
        <v>Não alterar</v>
      </c>
      <c r="I85" s="1114">
        <f t="shared" si="6"/>
        <v>0.94848182977238726</v>
      </c>
      <c r="J85" s="1114">
        <v>5941.3384599800002</v>
      </c>
      <c r="K85" s="1114">
        <v>245941.33845998</v>
      </c>
      <c r="L85" s="4">
        <v>259300</v>
      </c>
    </row>
    <row r="86" spans="2:12" ht="13.5" thickBot="1" x14ac:dyDescent="0.25">
      <c r="B86" s="20"/>
      <c r="C86" s="640" t="s">
        <v>393</v>
      </c>
      <c r="D86" s="642">
        <f t="shared" si="5"/>
        <v>246040</v>
      </c>
      <c r="E86" s="642">
        <v>225000</v>
      </c>
      <c r="F86" s="76">
        <f t="shared" si="7"/>
        <v>5</v>
      </c>
      <c r="G86" s="642">
        <f t="shared" ref="G86:G87" si="8">237800-710</f>
        <v>237090</v>
      </c>
      <c r="H86" s="14" t="str">
        <f t="shared" si="4"/>
        <v>Não alterar</v>
      </c>
      <c r="I86" s="1114">
        <f t="shared" si="6"/>
        <v>0.93567472054490597</v>
      </c>
      <c r="J86" s="1114">
        <v>6035.6677672829992</v>
      </c>
      <c r="K86" s="1114">
        <v>246035.66776728301</v>
      </c>
      <c r="L86" s="4">
        <v>262950</v>
      </c>
    </row>
    <row r="87" spans="2:12" ht="13.5" thickBot="1" x14ac:dyDescent="0.25">
      <c r="B87" s="20"/>
      <c r="C87" s="640" t="s">
        <v>394</v>
      </c>
      <c r="D87" s="642">
        <f t="shared" si="5"/>
        <v>246040</v>
      </c>
      <c r="E87" s="642">
        <v>225000</v>
      </c>
      <c r="F87" s="76">
        <f t="shared" si="7"/>
        <v>5</v>
      </c>
      <c r="G87" s="642">
        <f t="shared" si="8"/>
        <v>237090</v>
      </c>
      <c r="H87" s="14" t="str">
        <f t="shared" si="4"/>
        <v>Não alterar</v>
      </c>
      <c r="I87" s="1114">
        <f t="shared" si="6"/>
        <v>0.93567472054490597</v>
      </c>
      <c r="J87" s="1114">
        <v>6035.6677672829992</v>
      </c>
      <c r="K87" s="1114">
        <v>246035.66776728301</v>
      </c>
      <c r="L87" s="4">
        <v>262950</v>
      </c>
    </row>
    <row r="88" spans="2:12" ht="13.5" thickBot="1" x14ac:dyDescent="0.25">
      <c r="B88" s="20"/>
      <c r="C88" s="640" t="s">
        <v>395</v>
      </c>
      <c r="D88" s="642">
        <f t="shared" si="5"/>
        <v>245940</v>
      </c>
      <c r="E88" s="642">
        <v>225000</v>
      </c>
      <c r="F88" s="76">
        <f t="shared" si="7"/>
        <v>5</v>
      </c>
      <c r="G88" s="642">
        <v>233800</v>
      </c>
      <c r="H88" s="14" t="str">
        <f t="shared" si="4"/>
        <v>Não alterar</v>
      </c>
      <c r="I88" s="1114">
        <f t="shared" si="6"/>
        <v>0.94848182977238726</v>
      </c>
      <c r="J88" s="1114">
        <v>5941.3384599800002</v>
      </c>
      <c r="K88" s="1114">
        <v>245941.33845998</v>
      </c>
      <c r="L88" s="4">
        <v>259300</v>
      </c>
    </row>
    <row r="89" spans="2:12" ht="13.5" thickBot="1" x14ac:dyDescent="0.25">
      <c r="B89" s="20"/>
      <c r="C89" s="640" t="s">
        <v>396</v>
      </c>
      <c r="D89" s="642">
        <f t="shared" si="5"/>
        <v>245940</v>
      </c>
      <c r="E89" s="642">
        <v>225000</v>
      </c>
      <c r="F89" s="76">
        <f t="shared" si="7"/>
        <v>5</v>
      </c>
      <c r="G89" s="642">
        <v>229200</v>
      </c>
      <c r="H89" s="14" t="str">
        <f t="shared" si="4"/>
        <v>Não alterar</v>
      </c>
      <c r="I89" s="1114">
        <f t="shared" si="6"/>
        <v>0.96751116624697087</v>
      </c>
      <c r="J89" s="1114">
        <v>5941.3384599800002</v>
      </c>
      <c r="K89" s="1114">
        <v>245941.33845998</v>
      </c>
      <c r="L89" s="4">
        <v>254200</v>
      </c>
    </row>
    <row r="90" spans="2:12" ht="13.5" thickBot="1" x14ac:dyDescent="0.25">
      <c r="B90" s="20"/>
      <c r="C90" s="640" t="s">
        <v>397</v>
      </c>
      <c r="D90" s="642">
        <f t="shared" si="5"/>
        <v>246040</v>
      </c>
      <c r="E90" s="642">
        <v>225000</v>
      </c>
      <c r="F90" s="76">
        <f t="shared" si="7"/>
        <v>5</v>
      </c>
      <c r="G90" s="642">
        <v>233000</v>
      </c>
      <c r="H90" s="14" t="str">
        <f t="shared" si="4"/>
        <v>Não alterar</v>
      </c>
      <c r="I90" s="1114">
        <f t="shared" si="6"/>
        <v>0.95211357055564028</v>
      </c>
      <c r="J90" s="1114">
        <v>6035.6677672829992</v>
      </c>
      <c r="K90" s="1114">
        <v>246035.66776728301</v>
      </c>
      <c r="L90" s="4">
        <v>258410</v>
      </c>
    </row>
    <row r="91" spans="2:12" ht="13.5" thickBot="1" x14ac:dyDescent="0.25">
      <c r="B91" s="20"/>
      <c r="C91" s="640" t="s">
        <v>398</v>
      </c>
      <c r="D91" s="642">
        <f t="shared" si="5"/>
        <v>246040</v>
      </c>
      <c r="E91" s="642">
        <v>225000</v>
      </c>
      <c r="F91" s="76">
        <f t="shared" si="7"/>
        <v>5</v>
      </c>
      <c r="G91" s="642">
        <v>233000</v>
      </c>
      <c r="H91" s="14" t="str">
        <f t="shared" si="4"/>
        <v>Não alterar</v>
      </c>
      <c r="I91" s="1114">
        <f t="shared" si="6"/>
        <v>0.95211357055564028</v>
      </c>
      <c r="J91" s="1114">
        <v>6035.6677672829992</v>
      </c>
      <c r="K91" s="1114">
        <v>246035.66776728301</v>
      </c>
      <c r="L91" s="4">
        <v>258410</v>
      </c>
    </row>
    <row r="92" spans="2:12" ht="13.5" thickBot="1" x14ac:dyDescent="0.25">
      <c r="B92" s="20"/>
      <c r="C92" s="640" t="s">
        <v>399</v>
      </c>
      <c r="D92" s="642">
        <f t="shared" si="5"/>
        <v>245940</v>
      </c>
      <c r="E92" s="642">
        <v>225000</v>
      </c>
      <c r="F92" s="76">
        <f t="shared" si="7"/>
        <v>5</v>
      </c>
      <c r="G92" s="642">
        <v>229200</v>
      </c>
      <c r="H92" s="14" t="str">
        <f t="shared" si="4"/>
        <v>Não alterar</v>
      </c>
      <c r="I92" s="1114">
        <f t="shared" si="6"/>
        <v>0.96751116624697087</v>
      </c>
      <c r="J92" s="1114">
        <v>5941.3384599800002</v>
      </c>
      <c r="K92" s="1114">
        <v>245941.33845998</v>
      </c>
      <c r="L92" s="4">
        <v>254200</v>
      </c>
    </row>
    <row r="93" spans="2:12" ht="13.5" thickBot="1" x14ac:dyDescent="0.25">
      <c r="B93" s="20"/>
      <c r="C93" s="640" t="s">
        <v>400</v>
      </c>
      <c r="D93" s="642">
        <f t="shared" si="5"/>
        <v>245940</v>
      </c>
      <c r="E93" s="642">
        <v>225000</v>
      </c>
      <c r="F93" s="76">
        <f t="shared" si="7"/>
        <v>5</v>
      </c>
      <c r="G93" s="642">
        <v>233800</v>
      </c>
      <c r="H93" s="14" t="str">
        <f t="shared" si="4"/>
        <v>Não alterar</v>
      </c>
      <c r="I93" s="1114">
        <f t="shared" si="6"/>
        <v>0.94848182977238726</v>
      </c>
      <c r="J93" s="1114">
        <v>5941.3384599800002</v>
      </c>
      <c r="K93" s="1114">
        <v>245941.33845998</v>
      </c>
      <c r="L93" s="4">
        <v>259300</v>
      </c>
    </row>
    <row r="94" spans="2:12" ht="13.5" thickBot="1" x14ac:dyDescent="0.25">
      <c r="B94" s="20"/>
      <c r="C94" s="640" t="s">
        <v>401</v>
      </c>
      <c r="D94" s="642">
        <f t="shared" si="5"/>
        <v>246040</v>
      </c>
      <c r="E94" s="642">
        <v>225000</v>
      </c>
      <c r="F94" s="76">
        <f t="shared" si="7"/>
        <v>5</v>
      </c>
      <c r="G94" s="642">
        <f t="shared" ref="G94:G95" si="9">237800-710</f>
        <v>237090</v>
      </c>
      <c r="H94" s="14" t="str">
        <f t="shared" si="4"/>
        <v>Não alterar</v>
      </c>
      <c r="I94" s="1114">
        <f t="shared" si="6"/>
        <v>0.93567472054490597</v>
      </c>
      <c r="J94" s="1114">
        <v>6035.6677672829992</v>
      </c>
      <c r="K94" s="1114">
        <v>246035.66776728301</v>
      </c>
      <c r="L94" s="4">
        <v>262950</v>
      </c>
    </row>
    <row r="95" spans="2:12" ht="13.5" thickBot="1" x14ac:dyDescent="0.25">
      <c r="B95" s="20"/>
      <c r="C95" s="640" t="s">
        <v>402</v>
      </c>
      <c r="D95" s="642">
        <f t="shared" si="5"/>
        <v>246040</v>
      </c>
      <c r="E95" s="642">
        <v>237400</v>
      </c>
      <c r="F95" s="76">
        <f t="shared" si="7"/>
        <v>5</v>
      </c>
      <c r="G95" s="642">
        <f t="shared" si="9"/>
        <v>237090</v>
      </c>
      <c r="H95" s="14" t="str">
        <f t="shared" si="4"/>
        <v>Não alterar</v>
      </c>
      <c r="I95" s="1114">
        <f t="shared" si="6"/>
        <v>0.93567472054490597</v>
      </c>
      <c r="J95" s="1114">
        <v>6035.6677672829992</v>
      </c>
      <c r="K95" s="1114">
        <v>246035.66776728301</v>
      </c>
      <c r="L95" s="4">
        <v>262950</v>
      </c>
    </row>
    <row r="96" spans="2:12" ht="13.5" thickBot="1" x14ac:dyDescent="0.25">
      <c r="B96" s="20"/>
      <c r="C96" s="640" t="s">
        <v>404</v>
      </c>
      <c r="D96" s="642">
        <f t="shared" si="5"/>
        <v>245940</v>
      </c>
      <c r="E96" s="642">
        <v>236000</v>
      </c>
      <c r="F96" s="76">
        <f t="shared" si="7"/>
        <v>5</v>
      </c>
      <c r="G96" s="642">
        <v>233800</v>
      </c>
      <c r="H96" s="14" t="str">
        <f t="shared" si="4"/>
        <v>Não alterar</v>
      </c>
      <c r="I96" s="1114">
        <f t="shared" si="6"/>
        <v>0.94848182977238726</v>
      </c>
      <c r="J96" s="1114">
        <v>5941.3384599800002</v>
      </c>
      <c r="K96" s="1114">
        <v>245941.33845998</v>
      </c>
      <c r="L96" s="4">
        <v>259300</v>
      </c>
    </row>
    <row r="97" spans="2:12" ht="13.5" thickBot="1" x14ac:dyDescent="0.25">
      <c r="B97" s="20"/>
      <c r="C97" s="640" t="s">
        <v>406</v>
      </c>
      <c r="D97" s="642">
        <f t="shared" si="5"/>
        <v>245940</v>
      </c>
      <c r="E97" s="642">
        <v>236000</v>
      </c>
      <c r="F97" s="76">
        <f t="shared" si="7"/>
        <v>5</v>
      </c>
      <c r="G97" s="642">
        <v>229200</v>
      </c>
      <c r="H97" s="14" t="str">
        <f t="shared" si="4"/>
        <v>Não alterar</v>
      </c>
      <c r="I97" s="1114">
        <f t="shared" si="6"/>
        <v>0.96751116624697087</v>
      </c>
      <c r="J97" s="1114">
        <v>5941.3384599800002</v>
      </c>
      <c r="K97" s="1114">
        <v>245941.33845998</v>
      </c>
      <c r="L97" s="4">
        <v>254200</v>
      </c>
    </row>
    <row r="98" spans="2:12" ht="13.5" thickBot="1" x14ac:dyDescent="0.25">
      <c r="B98" s="20"/>
      <c r="C98" s="640" t="s">
        <v>407</v>
      </c>
      <c r="D98" s="642">
        <f t="shared" si="5"/>
        <v>246040</v>
      </c>
      <c r="E98" s="642">
        <v>237400</v>
      </c>
      <c r="F98" s="76">
        <f t="shared" si="7"/>
        <v>5</v>
      </c>
      <c r="G98" s="642">
        <v>233000</v>
      </c>
      <c r="H98" s="14" t="str">
        <f t="shared" si="4"/>
        <v>Não alterar</v>
      </c>
      <c r="I98" s="1114">
        <f t="shared" si="6"/>
        <v>0.95211357055564028</v>
      </c>
      <c r="J98" s="1114">
        <v>6035.6677672829992</v>
      </c>
      <c r="K98" s="1114">
        <v>246035.66776728301</v>
      </c>
      <c r="L98" s="4">
        <v>258410</v>
      </c>
    </row>
    <row r="99" spans="2:12" ht="13.5" thickBot="1" x14ac:dyDescent="0.25">
      <c r="B99" s="20"/>
      <c r="C99" s="640" t="s">
        <v>408</v>
      </c>
      <c r="D99" s="642">
        <f t="shared" si="5"/>
        <v>246040</v>
      </c>
      <c r="E99" s="642">
        <v>237400</v>
      </c>
      <c r="F99" s="76">
        <f t="shared" si="7"/>
        <v>5</v>
      </c>
      <c r="G99" s="642">
        <v>233000</v>
      </c>
      <c r="H99" s="14" t="str">
        <f t="shared" si="4"/>
        <v>Não alterar</v>
      </c>
      <c r="I99" s="1114">
        <f t="shared" si="6"/>
        <v>0.95211357055564028</v>
      </c>
      <c r="J99" s="1114">
        <v>6035.6677672829992</v>
      </c>
      <c r="K99" s="1114">
        <v>246035.66776728301</v>
      </c>
      <c r="L99" s="4">
        <v>258410</v>
      </c>
    </row>
    <row r="100" spans="2:12" ht="13.5" thickBot="1" x14ac:dyDescent="0.25">
      <c r="B100" s="20"/>
      <c r="C100" s="640" t="s">
        <v>409</v>
      </c>
      <c r="D100" s="642">
        <f t="shared" si="5"/>
        <v>245940</v>
      </c>
      <c r="E100" s="642">
        <v>237400</v>
      </c>
      <c r="F100" s="76">
        <f t="shared" si="7"/>
        <v>5</v>
      </c>
      <c r="G100" s="642">
        <v>229200</v>
      </c>
      <c r="H100" s="14" t="str">
        <f t="shared" si="4"/>
        <v>Não alterar</v>
      </c>
      <c r="I100" s="1114">
        <f t="shared" si="6"/>
        <v>0.96751116624697087</v>
      </c>
      <c r="J100" s="1114">
        <v>5941.3384599800002</v>
      </c>
      <c r="K100" s="1114">
        <v>245941.33845998</v>
      </c>
      <c r="L100" s="4">
        <v>254200</v>
      </c>
    </row>
    <row r="101" spans="2:12" ht="13.5" thickBot="1" x14ac:dyDescent="0.25">
      <c r="B101" s="20"/>
      <c r="C101" s="640" t="s">
        <v>410</v>
      </c>
      <c r="D101" s="642">
        <f t="shared" si="5"/>
        <v>245940</v>
      </c>
      <c r="E101" s="642">
        <v>237400</v>
      </c>
      <c r="F101" s="76">
        <f t="shared" si="7"/>
        <v>5</v>
      </c>
      <c r="G101" s="642">
        <v>233800</v>
      </c>
      <c r="H101" s="14" t="str">
        <f t="shared" si="4"/>
        <v>Não alterar</v>
      </c>
      <c r="I101" s="1114">
        <f t="shared" si="6"/>
        <v>0.94848182977238726</v>
      </c>
      <c r="J101" s="1114">
        <v>5941.3384599800002</v>
      </c>
      <c r="K101" s="1114">
        <v>245941.33845998</v>
      </c>
      <c r="L101" s="4">
        <v>259300</v>
      </c>
    </row>
    <row r="102" spans="2:12" ht="13.5" thickBot="1" x14ac:dyDescent="0.25">
      <c r="B102" s="20"/>
      <c r="C102" s="640" t="s">
        <v>411</v>
      </c>
      <c r="D102" s="642">
        <f t="shared" si="5"/>
        <v>246040</v>
      </c>
      <c r="E102" s="642">
        <v>237400</v>
      </c>
      <c r="F102" s="76">
        <f t="shared" si="7"/>
        <v>5</v>
      </c>
      <c r="G102" s="642">
        <f t="shared" ref="G102:G103" si="10">237800-710</f>
        <v>237090</v>
      </c>
      <c r="H102" s="14" t="str">
        <f t="shared" si="4"/>
        <v>Não alterar</v>
      </c>
      <c r="I102" s="1114">
        <f t="shared" si="6"/>
        <v>0.93567472054490597</v>
      </c>
      <c r="J102" s="1114">
        <v>6035.6677672829992</v>
      </c>
      <c r="K102" s="1114">
        <v>246035.66776728301</v>
      </c>
      <c r="L102" s="4">
        <v>262950</v>
      </c>
    </row>
    <row r="103" spans="2:12" ht="13.5" thickBot="1" x14ac:dyDescent="0.25">
      <c r="B103" s="20"/>
      <c r="C103" s="640" t="s">
        <v>412</v>
      </c>
      <c r="D103" s="642">
        <f t="shared" si="5"/>
        <v>246040</v>
      </c>
      <c r="E103" s="642">
        <v>237400</v>
      </c>
      <c r="F103" s="76">
        <f t="shared" si="7"/>
        <v>5</v>
      </c>
      <c r="G103" s="642">
        <f t="shared" si="10"/>
        <v>237090</v>
      </c>
      <c r="H103" s="14" t="str">
        <f t="shared" si="4"/>
        <v>Não alterar</v>
      </c>
      <c r="I103" s="1114">
        <f t="shared" si="6"/>
        <v>0.93567472054490597</v>
      </c>
      <c r="J103" s="1114">
        <v>6035.6677672829992</v>
      </c>
      <c r="K103" s="1114">
        <v>246035.66776728301</v>
      </c>
      <c r="L103" s="4">
        <v>262950</v>
      </c>
    </row>
    <row r="104" spans="2:12" ht="13.5" thickBot="1" x14ac:dyDescent="0.25">
      <c r="B104" s="20"/>
      <c r="C104" s="640" t="s">
        <v>413</v>
      </c>
      <c r="D104" s="642">
        <f t="shared" si="5"/>
        <v>245940</v>
      </c>
      <c r="E104" s="642">
        <v>236000</v>
      </c>
      <c r="F104" s="76">
        <f t="shared" si="7"/>
        <v>5</v>
      </c>
      <c r="G104" s="642">
        <v>233800</v>
      </c>
      <c r="H104" s="14" t="str">
        <f t="shared" ref="H104:H126" si="11">IF(D104&gt;=$J$8,$J$7,"Não alterar")</f>
        <v>Não alterar</v>
      </c>
      <c r="I104" s="1114">
        <f t="shared" si="6"/>
        <v>0.94848182977238726</v>
      </c>
      <c r="J104" s="1114">
        <v>5941.3384599800002</v>
      </c>
      <c r="K104" s="1114">
        <v>245941.33845998</v>
      </c>
      <c r="L104" s="4">
        <v>259300</v>
      </c>
    </row>
    <row r="105" spans="2:12" ht="13.5" thickBot="1" x14ac:dyDescent="0.25">
      <c r="B105" s="20"/>
      <c r="C105" s="640" t="s">
        <v>414</v>
      </c>
      <c r="D105" s="642">
        <f t="shared" si="5"/>
        <v>245940</v>
      </c>
      <c r="E105" s="642">
        <v>236000</v>
      </c>
      <c r="F105" s="76">
        <f t="shared" si="7"/>
        <v>5</v>
      </c>
      <c r="G105" s="642">
        <v>229200</v>
      </c>
      <c r="H105" s="14" t="str">
        <f t="shared" si="11"/>
        <v>Não alterar</v>
      </c>
      <c r="I105" s="1114">
        <f t="shared" si="6"/>
        <v>0.96751116624697087</v>
      </c>
      <c r="J105" s="1114">
        <v>5941.3384599800002</v>
      </c>
      <c r="K105" s="1114">
        <v>245941.33845998</v>
      </c>
      <c r="L105" s="4">
        <v>254200</v>
      </c>
    </row>
    <row r="106" spans="2:12" ht="13.5" thickBot="1" x14ac:dyDescent="0.25">
      <c r="B106" s="20"/>
      <c r="C106" s="640" t="s">
        <v>415</v>
      </c>
      <c r="D106" s="642">
        <f t="shared" si="5"/>
        <v>246040</v>
      </c>
      <c r="E106" s="642">
        <v>237400</v>
      </c>
      <c r="F106" s="76">
        <f t="shared" si="7"/>
        <v>5</v>
      </c>
      <c r="G106" s="642">
        <v>233000</v>
      </c>
      <c r="H106" s="14" t="str">
        <f t="shared" si="11"/>
        <v>Não alterar</v>
      </c>
      <c r="I106" s="1114">
        <f t="shared" si="6"/>
        <v>0.95211357055564028</v>
      </c>
      <c r="J106" s="1114">
        <v>6035.6677672829992</v>
      </c>
      <c r="K106" s="1114">
        <v>246035.66776728301</v>
      </c>
      <c r="L106" s="4">
        <v>258410</v>
      </c>
    </row>
    <row r="107" spans="2:12" ht="13.5" thickBot="1" x14ac:dyDescent="0.25">
      <c r="B107" s="20"/>
      <c r="C107" s="640" t="s">
        <v>416</v>
      </c>
      <c r="D107" s="642">
        <f t="shared" si="5"/>
        <v>246040</v>
      </c>
      <c r="E107" s="642">
        <v>237400</v>
      </c>
      <c r="F107" s="76">
        <f t="shared" si="7"/>
        <v>5</v>
      </c>
      <c r="G107" s="642">
        <v>233000</v>
      </c>
      <c r="H107" s="14" t="str">
        <f t="shared" si="11"/>
        <v>Não alterar</v>
      </c>
      <c r="I107" s="1114">
        <f t="shared" si="6"/>
        <v>0.95211357055564028</v>
      </c>
      <c r="J107" s="1114">
        <v>6035.6677672829992</v>
      </c>
      <c r="K107" s="1114">
        <v>246035.66776728301</v>
      </c>
      <c r="L107" s="4">
        <v>258410</v>
      </c>
    </row>
    <row r="108" spans="2:12" ht="13.5" thickBot="1" x14ac:dyDescent="0.25">
      <c r="B108" s="20"/>
      <c r="C108" s="640" t="s">
        <v>417</v>
      </c>
      <c r="D108" s="642">
        <f t="shared" si="5"/>
        <v>245940</v>
      </c>
      <c r="E108" s="642">
        <v>237400</v>
      </c>
      <c r="F108" s="76">
        <f t="shared" si="7"/>
        <v>5</v>
      </c>
      <c r="G108" s="642">
        <v>229200</v>
      </c>
      <c r="H108" s="14" t="str">
        <f t="shared" si="11"/>
        <v>Não alterar</v>
      </c>
      <c r="I108" s="1114">
        <f t="shared" si="6"/>
        <v>0.96751116624697087</v>
      </c>
      <c r="J108" s="1114">
        <v>5941.3384599800002</v>
      </c>
      <c r="K108" s="1114">
        <v>245941.33845998</v>
      </c>
      <c r="L108" s="4">
        <v>254200</v>
      </c>
    </row>
    <row r="109" spans="2:12" ht="13.5" thickBot="1" x14ac:dyDescent="0.25">
      <c r="B109" s="20"/>
      <c r="C109" s="640" t="s">
        <v>418</v>
      </c>
      <c r="D109" s="642">
        <f t="shared" si="5"/>
        <v>245940</v>
      </c>
      <c r="E109" s="642">
        <v>237400</v>
      </c>
      <c r="F109" s="76">
        <f t="shared" si="7"/>
        <v>5</v>
      </c>
      <c r="G109" s="642">
        <v>233800</v>
      </c>
      <c r="H109" s="14" t="str">
        <f t="shared" si="11"/>
        <v>Não alterar</v>
      </c>
      <c r="I109" s="1114">
        <f t="shared" si="6"/>
        <v>0.94848182977238726</v>
      </c>
      <c r="J109" s="1114">
        <v>5941.3384599800002</v>
      </c>
      <c r="K109" s="1114">
        <v>245941.33845998</v>
      </c>
      <c r="L109" s="4">
        <v>259300</v>
      </c>
    </row>
    <row r="110" spans="2:12" ht="13.5" thickBot="1" x14ac:dyDescent="0.25">
      <c r="B110" s="20"/>
      <c r="C110" s="640" t="s">
        <v>419</v>
      </c>
      <c r="D110" s="642">
        <f t="shared" si="5"/>
        <v>246040</v>
      </c>
      <c r="E110" s="642">
        <v>237400</v>
      </c>
      <c r="F110" s="76">
        <f t="shared" si="7"/>
        <v>5</v>
      </c>
      <c r="G110" s="642">
        <f t="shared" ref="G110:G111" si="12">237800-710</f>
        <v>237090</v>
      </c>
      <c r="H110" s="14" t="str">
        <f t="shared" si="11"/>
        <v>Não alterar</v>
      </c>
      <c r="I110" s="1114">
        <f t="shared" si="6"/>
        <v>0.93567472054490597</v>
      </c>
      <c r="J110" s="1114">
        <v>6035.6677672829992</v>
      </c>
      <c r="K110" s="1114">
        <v>246035.66776728301</v>
      </c>
      <c r="L110" s="4">
        <v>262950</v>
      </c>
    </row>
    <row r="111" spans="2:12" ht="13.5" thickBot="1" x14ac:dyDescent="0.25">
      <c r="B111" s="20"/>
      <c r="C111" s="640" t="s">
        <v>420</v>
      </c>
      <c r="D111" s="642">
        <f t="shared" si="5"/>
        <v>246040</v>
      </c>
      <c r="E111" s="642">
        <v>237400</v>
      </c>
      <c r="F111" s="76">
        <f t="shared" si="7"/>
        <v>5</v>
      </c>
      <c r="G111" s="642">
        <f t="shared" si="12"/>
        <v>237090</v>
      </c>
      <c r="H111" s="14" t="str">
        <f t="shared" si="11"/>
        <v>Não alterar</v>
      </c>
      <c r="I111" s="1114">
        <f t="shared" si="6"/>
        <v>0.93567472054490597</v>
      </c>
      <c r="J111" s="1114">
        <v>6035.6677672829992</v>
      </c>
      <c r="K111" s="1114">
        <v>246035.66776728301</v>
      </c>
      <c r="L111" s="4">
        <v>262950</v>
      </c>
    </row>
    <row r="112" spans="2:12" ht="13.5" thickBot="1" x14ac:dyDescent="0.25">
      <c r="B112" s="20"/>
      <c r="C112" s="640" t="s">
        <v>421</v>
      </c>
      <c r="D112" s="642">
        <f t="shared" si="5"/>
        <v>245940</v>
      </c>
      <c r="E112" s="642">
        <v>236000</v>
      </c>
      <c r="F112" s="76">
        <f t="shared" si="7"/>
        <v>5</v>
      </c>
      <c r="G112" s="642">
        <v>235000</v>
      </c>
      <c r="H112" s="14" t="str">
        <f t="shared" si="11"/>
        <v>Não alterar</v>
      </c>
      <c r="I112" s="1114">
        <f t="shared" si="6"/>
        <v>0.9436417083988029</v>
      </c>
      <c r="J112" s="1114">
        <v>5941.3384599800002</v>
      </c>
      <c r="K112" s="1114">
        <v>245941.33845998</v>
      </c>
      <c r="L112" s="4">
        <v>260630</v>
      </c>
    </row>
    <row r="113" spans="2:12" ht="13.5" thickBot="1" x14ac:dyDescent="0.25">
      <c r="B113" s="20"/>
      <c r="C113" s="640" t="s">
        <v>422</v>
      </c>
      <c r="D113" s="642">
        <f t="shared" si="5"/>
        <v>245940</v>
      </c>
      <c r="E113" s="642">
        <v>236000</v>
      </c>
      <c r="F113" s="76">
        <f t="shared" si="7"/>
        <v>5</v>
      </c>
      <c r="G113" s="642">
        <v>230300</v>
      </c>
      <c r="H113" s="14" t="str">
        <f t="shared" si="11"/>
        <v>Não alterar</v>
      </c>
      <c r="I113" s="1114">
        <f t="shared" si="6"/>
        <v>0.96288990079077597</v>
      </c>
      <c r="J113" s="1114">
        <v>5941.3384599800002</v>
      </c>
      <c r="K113" s="1114">
        <v>245941.33845998</v>
      </c>
      <c r="L113" s="4">
        <v>255420</v>
      </c>
    </row>
    <row r="114" spans="2:12" ht="13.5" thickBot="1" x14ac:dyDescent="0.25">
      <c r="B114" s="20"/>
      <c r="C114" s="640" t="s">
        <v>423</v>
      </c>
      <c r="D114" s="642">
        <f t="shared" si="5"/>
        <v>246030</v>
      </c>
      <c r="E114" s="642">
        <v>237400</v>
      </c>
      <c r="F114" s="76">
        <f t="shared" si="7"/>
        <v>5</v>
      </c>
      <c r="G114" s="642">
        <v>234200</v>
      </c>
      <c r="H114" s="14" t="str">
        <f t="shared" si="11"/>
        <v>Não alterar</v>
      </c>
      <c r="I114" s="1114">
        <f t="shared" si="6"/>
        <v>0.94720180083650818</v>
      </c>
      <c r="J114" s="1114">
        <v>6035.6677672829992</v>
      </c>
      <c r="K114" s="1114">
        <v>246035.66776728301</v>
      </c>
      <c r="L114" s="4">
        <v>259750</v>
      </c>
    </row>
    <row r="115" spans="2:12" ht="13.5" thickBot="1" x14ac:dyDescent="0.25">
      <c r="B115" s="20"/>
      <c r="C115" s="640" t="s">
        <v>424</v>
      </c>
      <c r="D115" s="642">
        <f t="shared" si="5"/>
        <v>246030</v>
      </c>
      <c r="E115" s="642">
        <v>237400</v>
      </c>
      <c r="F115" s="76">
        <f t="shared" si="7"/>
        <v>5</v>
      </c>
      <c r="G115" s="642">
        <v>234200</v>
      </c>
      <c r="H115" s="14" t="str">
        <f t="shared" si="11"/>
        <v>Não alterar</v>
      </c>
      <c r="I115" s="1114">
        <f t="shared" si="6"/>
        <v>0.94720180083650818</v>
      </c>
      <c r="J115" s="1114">
        <v>6035.6677672829992</v>
      </c>
      <c r="K115" s="1114">
        <v>246035.66776728301</v>
      </c>
      <c r="L115" s="4">
        <v>259750</v>
      </c>
    </row>
    <row r="116" spans="2:12" ht="13.5" thickBot="1" x14ac:dyDescent="0.25">
      <c r="B116" s="20"/>
      <c r="C116" s="640" t="s">
        <v>425</v>
      </c>
      <c r="D116" s="642">
        <f t="shared" si="5"/>
        <v>245940</v>
      </c>
      <c r="E116" s="642">
        <v>237400</v>
      </c>
      <c r="F116" s="76">
        <f t="shared" si="7"/>
        <v>5</v>
      </c>
      <c r="G116" s="642">
        <v>230300</v>
      </c>
      <c r="H116" s="14" t="str">
        <f t="shared" si="11"/>
        <v>Não alterar</v>
      </c>
      <c r="I116" s="1114">
        <f t="shared" si="6"/>
        <v>0.96288990079077597</v>
      </c>
      <c r="J116" s="1114">
        <v>5941.3384599800002</v>
      </c>
      <c r="K116" s="1114">
        <v>245941.33845998</v>
      </c>
      <c r="L116" s="4">
        <v>255420</v>
      </c>
    </row>
    <row r="117" spans="2:12" ht="13.5" thickBot="1" x14ac:dyDescent="0.25">
      <c r="B117" s="20"/>
      <c r="C117" s="640" t="s">
        <v>426</v>
      </c>
      <c r="D117" s="642">
        <f t="shared" si="5"/>
        <v>245940</v>
      </c>
      <c r="E117" s="642">
        <v>237400</v>
      </c>
      <c r="F117" s="76">
        <f t="shared" si="7"/>
        <v>5</v>
      </c>
      <c r="G117" s="642">
        <v>235000</v>
      </c>
      <c r="H117" s="14" t="str">
        <f t="shared" si="11"/>
        <v>Não alterar</v>
      </c>
      <c r="I117" s="1114">
        <f t="shared" si="6"/>
        <v>0.9436417083988029</v>
      </c>
      <c r="J117" s="1114">
        <v>5941.3384599800002</v>
      </c>
      <c r="K117" s="1114">
        <v>245941.33845998</v>
      </c>
      <c r="L117" s="4">
        <v>260630</v>
      </c>
    </row>
    <row r="118" spans="2:12" ht="13.5" thickBot="1" x14ac:dyDescent="0.25">
      <c r="B118" s="20"/>
      <c r="C118" s="640" t="s">
        <v>427</v>
      </c>
      <c r="D118" s="642">
        <f t="shared" si="5"/>
        <v>246040</v>
      </c>
      <c r="E118" s="642">
        <v>237400</v>
      </c>
      <c r="F118" s="76">
        <f t="shared" si="7"/>
        <v>5</v>
      </c>
      <c r="G118" s="642">
        <f t="shared" ref="G118:G119" si="13">237800-710</f>
        <v>237090</v>
      </c>
      <c r="H118" s="14" t="str">
        <f t="shared" si="11"/>
        <v>Não alterar</v>
      </c>
      <c r="I118" s="1114">
        <f t="shared" si="6"/>
        <v>0.93567472054490597</v>
      </c>
      <c r="J118" s="1114">
        <v>6035.6677672829992</v>
      </c>
      <c r="K118" s="1114">
        <v>246035.66776728301</v>
      </c>
      <c r="L118" s="4">
        <v>262950</v>
      </c>
    </row>
    <row r="119" spans="2:12" ht="13.5" thickBot="1" x14ac:dyDescent="0.25">
      <c r="B119" s="20"/>
      <c r="C119" s="640" t="s">
        <v>428</v>
      </c>
      <c r="D119" s="642">
        <f t="shared" si="5"/>
        <v>246040</v>
      </c>
      <c r="E119" s="642">
        <v>237400</v>
      </c>
      <c r="F119" s="76">
        <f t="shared" si="7"/>
        <v>5</v>
      </c>
      <c r="G119" s="642">
        <f t="shared" si="13"/>
        <v>237090</v>
      </c>
      <c r="H119" s="14" t="str">
        <f t="shared" si="11"/>
        <v>Não alterar</v>
      </c>
      <c r="I119" s="1114">
        <f t="shared" si="6"/>
        <v>0.93567472054490597</v>
      </c>
      <c r="J119" s="1114">
        <v>6035.6677672829992</v>
      </c>
      <c r="K119" s="1114">
        <v>246035.66776728301</v>
      </c>
      <c r="L119" s="4">
        <v>262950</v>
      </c>
    </row>
    <row r="120" spans="2:12" ht="13.5" thickBot="1" x14ac:dyDescent="0.25">
      <c r="B120" s="20"/>
      <c r="C120" s="640" t="s">
        <v>429</v>
      </c>
      <c r="D120" s="642">
        <f t="shared" si="5"/>
        <v>246010</v>
      </c>
      <c r="E120" s="642">
        <v>240370</v>
      </c>
      <c r="F120" s="76">
        <f t="shared" si="7"/>
        <v>5</v>
      </c>
      <c r="G120" s="642">
        <v>225000</v>
      </c>
      <c r="H120" s="14" t="str">
        <f t="shared" si="11"/>
        <v>Não alterar</v>
      </c>
      <c r="I120" s="1114">
        <f t="shared" si="6"/>
        <v>0.98585527596906708</v>
      </c>
      <c r="J120" s="1114">
        <v>6010.3255653209999</v>
      </c>
      <c r="K120" s="1114">
        <v>246010.32556532099</v>
      </c>
      <c r="L120" s="4">
        <v>249540</v>
      </c>
    </row>
    <row r="121" spans="2:12" ht="13.5" thickBot="1" x14ac:dyDescent="0.25">
      <c r="B121" s="20"/>
      <c r="C121" s="640" t="s">
        <v>431</v>
      </c>
      <c r="D121" s="642">
        <f t="shared" si="5"/>
        <v>246010</v>
      </c>
      <c r="E121" s="642">
        <v>240370</v>
      </c>
      <c r="F121" s="76">
        <f t="shared" si="7"/>
        <v>5</v>
      </c>
      <c r="G121" s="642">
        <v>225000</v>
      </c>
      <c r="H121" s="14" t="str">
        <f t="shared" si="11"/>
        <v>Não alterar</v>
      </c>
      <c r="I121" s="1114">
        <f t="shared" si="6"/>
        <v>0.98585527596906708</v>
      </c>
      <c r="J121" s="1114">
        <v>6010.3255653209999</v>
      </c>
      <c r="K121" s="1114">
        <v>246010.32556532099</v>
      </c>
      <c r="L121" s="4">
        <v>249540</v>
      </c>
    </row>
    <row r="122" spans="2:12" ht="13.5" thickBot="1" x14ac:dyDescent="0.25">
      <c r="B122" s="20"/>
      <c r="C122" s="640" t="s">
        <v>432</v>
      </c>
      <c r="D122" s="642">
        <f t="shared" si="5"/>
        <v>246030</v>
      </c>
      <c r="E122" s="642">
        <v>237400</v>
      </c>
      <c r="F122" s="76">
        <f t="shared" si="7"/>
        <v>5</v>
      </c>
      <c r="G122" s="642">
        <v>234200</v>
      </c>
      <c r="H122" s="14" t="str">
        <f t="shared" si="11"/>
        <v>Não alterar</v>
      </c>
      <c r="I122" s="1114">
        <f t="shared" si="6"/>
        <v>0.94720180083650818</v>
      </c>
      <c r="J122" s="1114">
        <v>6035.6677672829992</v>
      </c>
      <c r="K122" s="1114">
        <v>246035.66776728301</v>
      </c>
      <c r="L122" s="4">
        <v>259750</v>
      </c>
    </row>
    <row r="123" spans="2:12" ht="13.5" thickBot="1" x14ac:dyDescent="0.25">
      <c r="B123" s="20"/>
      <c r="C123" s="640" t="s">
        <v>433</v>
      </c>
      <c r="D123" s="642">
        <f t="shared" si="5"/>
        <v>246030</v>
      </c>
      <c r="E123" s="642">
        <v>237400</v>
      </c>
      <c r="F123" s="76">
        <f t="shared" si="7"/>
        <v>5</v>
      </c>
      <c r="G123" s="642">
        <v>234200</v>
      </c>
      <c r="H123" s="14" t="str">
        <f t="shared" si="11"/>
        <v>Não alterar</v>
      </c>
      <c r="I123" s="1114">
        <f t="shared" si="6"/>
        <v>0.94720180083650818</v>
      </c>
      <c r="J123" s="1114">
        <v>6035.6677672829992</v>
      </c>
      <c r="K123" s="1114">
        <v>246035.66776728301</v>
      </c>
      <c r="L123" s="4">
        <v>259750</v>
      </c>
    </row>
    <row r="124" spans="2:12" ht="13.5" thickBot="1" x14ac:dyDescent="0.25">
      <c r="B124" s="20"/>
      <c r="C124" s="640" t="s">
        <v>434</v>
      </c>
      <c r="D124" s="642">
        <f t="shared" si="5"/>
        <v>246010</v>
      </c>
      <c r="E124" s="642">
        <v>240370</v>
      </c>
      <c r="F124" s="76">
        <f t="shared" si="7"/>
        <v>5</v>
      </c>
      <c r="G124" s="642">
        <v>225000</v>
      </c>
      <c r="H124" s="14" t="str">
        <f t="shared" si="11"/>
        <v>Não alterar</v>
      </c>
      <c r="I124" s="1114">
        <f t="shared" si="6"/>
        <v>0.98585527596906708</v>
      </c>
      <c r="J124" s="1114">
        <v>6010.3255653209999</v>
      </c>
      <c r="K124" s="1114">
        <v>246010.32556532099</v>
      </c>
      <c r="L124" s="4">
        <v>249540</v>
      </c>
    </row>
    <row r="125" spans="2:12" ht="13.5" thickBot="1" x14ac:dyDescent="0.25">
      <c r="B125" s="20"/>
      <c r="C125" s="640" t="s">
        <v>435</v>
      </c>
      <c r="D125" s="642">
        <f t="shared" si="5"/>
        <v>246010</v>
      </c>
      <c r="E125" s="642">
        <v>240370</v>
      </c>
      <c r="F125" s="76">
        <f t="shared" si="7"/>
        <v>5</v>
      </c>
      <c r="G125" s="642">
        <v>225000</v>
      </c>
      <c r="H125" s="14" t="str">
        <f t="shared" si="11"/>
        <v>Não alterar</v>
      </c>
      <c r="I125" s="1114">
        <f t="shared" si="6"/>
        <v>0.98586091795074937</v>
      </c>
      <c r="J125" s="1114">
        <v>6011.7334654299984</v>
      </c>
      <c r="K125" s="1114">
        <v>246011.73346543001</v>
      </c>
      <c r="L125" s="4">
        <v>249540</v>
      </c>
    </row>
    <row r="126" spans="2:12" ht="13.5" thickBot="1" x14ac:dyDescent="0.25">
      <c r="B126" s="20"/>
      <c r="C126" s="640" t="s">
        <v>436</v>
      </c>
      <c r="D126" s="642">
        <f t="shared" si="5"/>
        <v>246040</v>
      </c>
      <c r="E126" s="642">
        <v>237400</v>
      </c>
      <c r="F126" s="76">
        <f t="shared" si="7"/>
        <v>5</v>
      </c>
      <c r="G126" s="642">
        <f>237800-710</f>
        <v>237090</v>
      </c>
      <c r="H126" s="14" t="str">
        <f t="shared" si="11"/>
        <v>Não alterar</v>
      </c>
      <c r="I126" s="1114">
        <f t="shared" si="6"/>
        <v>0.93567472054490597</v>
      </c>
      <c r="J126" s="1114">
        <v>6035.6677672829992</v>
      </c>
      <c r="K126" s="1114">
        <v>246035.66776728301</v>
      </c>
      <c r="L126" s="4">
        <v>262950</v>
      </c>
    </row>
    <row r="127" spans="2:12" ht="13.5" thickBot="1" x14ac:dyDescent="0.25">
      <c r="B127" s="20"/>
      <c r="C127" s="640" t="s">
        <v>437</v>
      </c>
      <c r="D127" s="642">
        <f t="shared" si="5"/>
        <v>216040</v>
      </c>
      <c r="E127" s="642">
        <v>225000</v>
      </c>
      <c r="F127" s="76">
        <f t="shared" si="7"/>
        <v>5</v>
      </c>
      <c r="G127" s="642">
        <v>208700</v>
      </c>
      <c r="H127" s="14">
        <f>IF(D127&gt;=$I$8,$I$7,"Não alterar")</f>
        <v>210000</v>
      </c>
      <c r="I127" s="1114">
        <f t="shared" si="6"/>
        <v>0.93336070062768084</v>
      </c>
      <c r="J127" s="1114">
        <v>6035.6677672829992</v>
      </c>
      <c r="K127" s="1114">
        <v>216035.66776728301</v>
      </c>
      <c r="L127" s="4">
        <v>231460</v>
      </c>
    </row>
    <row r="128" spans="2:12" ht="13.5" thickBot="1" x14ac:dyDescent="0.25">
      <c r="B128" s="20"/>
      <c r="C128" s="640" t="s">
        <v>438</v>
      </c>
      <c r="D128" s="642">
        <f t="shared" si="5"/>
        <v>215940</v>
      </c>
      <c r="E128" s="642">
        <v>225000</v>
      </c>
      <c r="F128" s="76">
        <f t="shared" si="7"/>
        <v>5</v>
      </c>
      <c r="G128" s="642">
        <v>205000</v>
      </c>
      <c r="H128" s="14">
        <f t="shared" ref="H128:H155" si="14">IF(D128&gt;=$I$8,$I$7,"Não alterar")</f>
        <v>210000</v>
      </c>
      <c r="I128" s="1114">
        <f t="shared" si="6"/>
        <v>0.94977717478879309</v>
      </c>
      <c r="J128" s="1114">
        <v>5941.3384599800002</v>
      </c>
      <c r="K128" s="1114">
        <v>215941.33845998</v>
      </c>
      <c r="L128" s="4">
        <v>227360</v>
      </c>
    </row>
    <row r="129" spans="2:12" ht="13.5" thickBot="1" x14ac:dyDescent="0.25">
      <c r="B129" s="20"/>
      <c r="C129" s="640" t="s">
        <v>439</v>
      </c>
      <c r="D129" s="642">
        <f t="shared" si="5"/>
        <v>215770</v>
      </c>
      <c r="E129" s="642">
        <v>225000</v>
      </c>
      <c r="F129" s="76">
        <f t="shared" si="7"/>
        <v>5</v>
      </c>
      <c r="G129" s="642">
        <v>200600</v>
      </c>
      <c r="H129" s="14">
        <f t="shared" si="14"/>
        <v>210000</v>
      </c>
      <c r="I129" s="1114">
        <f t="shared" si="6"/>
        <v>0.96983180420711979</v>
      </c>
      <c r="J129" s="1114">
        <v>5768.1797999999999</v>
      </c>
      <c r="K129" s="1114">
        <v>215768.17980000001</v>
      </c>
      <c r="L129" s="4">
        <v>222480</v>
      </c>
    </row>
    <row r="130" spans="2:12" ht="13.5" thickBot="1" x14ac:dyDescent="0.25">
      <c r="B130" s="20"/>
      <c r="C130" s="640" t="s">
        <v>440</v>
      </c>
      <c r="D130" s="642">
        <f t="shared" si="5"/>
        <v>215710</v>
      </c>
      <c r="E130" s="642">
        <v>225000</v>
      </c>
      <c r="F130" s="76">
        <f t="shared" si="7"/>
        <v>5</v>
      </c>
      <c r="G130" s="642">
        <v>204200</v>
      </c>
      <c r="H130" s="14">
        <f t="shared" si="14"/>
        <v>210000</v>
      </c>
      <c r="I130" s="1114">
        <f t="shared" si="6"/>
        <v>0.95249602596370375</v>
      </c>
      <c r="J130" s="1114">
        <v>5711.7749999999996</v>
      </c>
      <c r="K130" s="1114">
        <v>215711.77499999999</v>
      </c>
      <c r="L130" s="4">
        <v>226470</v>
      </c>
    </row>
    <row r="131" spans="2:12" ht="13.5" thickBot="1" x14ac:dyDescent="0.25">
      <c r="B131" s="20"/>
      <c r="C131" s="640" t="s">
        <v>441</v>
      </c>
      <c r="D131" s="642">
        <f t="shared" si="5"/>
        <v>215920</v>
      </c>
      <c r="E131" s="642">
        <v>225000</v>
      </c>
      <c r="F131" s="76">
        <f t="shared" si="7"/>
        <v>5</v>
      </c>
      <c r="G131" s="642">
        <v>204200</v>
      </c>
      <c r="H131" s="14">
        <f t="shared" si="14"/>
        <v>210000</v>
      </c>
      <c r="I131" s="1114">
        <f t="shared" si="6"/>
        <v>0.9534178076566433</v>
      </c>
      <c r="J131" s="1114">
        <v>5920.5308999999997</v>
      </c>
      <c r="K131" s="1114">
        <v>215920.53090000001</v>
      </c>
      <c r="L131" s="4">
        <v>226470</v>
      </c>
    </row>
    <row r="132" spans="2:12" ht="13.5" thickBot="1" x14ac:dyDescent="0.25">
      <c r="B132" s="20"/>
      <c r="C132" s="640" t="s">
        <v>442</v>
      </c>
      <c r="D132" s="642">
        <f t="shared" si="5"/>
        <v>216030</v>
      </c>
      <c r="E132" s="642">
        <v>225000</v>
      </c>
      <c r="F132" s="76">
        <f t="shared" si="7"/>
        <v>5</v>
      </c>
      <c r="G132" s="642">
        <v>215500</v>
      </c>
      <c r="H132" s="14">
        <f t="shared" si="14"/>
        <v>210000</v>
      </c>
      <c r="I132" s="1114">
        <f t="shared" si="6"/>
        <v>0.90387710877069161</v>
      </c>
      <c r="J132" s="1114">
        <v>6035.6677672829992</v>
      </c>
      <c r="K132" s="1114">
        <v>216035.66776728301</v>
      </c>
      <c r="L132" s="4">
        <v>239010</v>
      </c>
    </row>
    <row r="133" spans="2:12" ht="13.5" thickBot="1" x14ac:dyDescent="0.25">
      <c r="B133" s="20"/>
      <c r="C133" s="640" t="s">
        <v>443</v>
      </c>
      <c r="D133" s="642">
        <f t="shared" si="5"/>
        <v>215940</v>
      </c>
      <c r="E133" s="642">
        <v>225000</v>
      </c>
      <c r="F133" s="76">
        <f t="shared" si="7"/>
        <v>5</v>
      </c>
      <c r="G133" s="642">
        <v>211600</v>
      </c>
      <c r="H133" s="14">
        <f t="shared" si="14"/>
        <v>210000</v>
      </c>
      <c r="I133" s="1114">
        <f t="shared" si="6"/>
        <v>0.92015228592116927</v>
      </c>
      <c r="J133" s="1114">
        <v>5941.3384599800002</v>
      </c>
      <c r="K133" s="1114">
        <v>215941.33845998</v>
      </c>
      <c r="L133" s="4">
        <v>234680</v>
      </c>
    </row>
    <row r="134" spans="2:12" ht="13.5" thickBot="1" x14ac:dyDescent="0.25">
      <c r="B134" s="20"/>
      <c r="C134" s="640" t="s">
        <v>444</v>
      </c>
      <c r="D134" s="642">
        <f t="shared" si="5"/>
        <v>215940</v>
      </c>
      <c r="E134" s="642">
        <v>225000</v>
      </c>
      <c r="F134" s="76">
        <f t="shared" si="7"/>
        <v>5</v>
      </c>
      <c r="G134" s="642">
        <v>207100</v>
      </c>
      <c r="H134" s="14">
        <f t="shared" si="14"/>
        <v>210000</v>
      </c>
      <c r="I134" s="1114">
        <f t="shared" si="6"/>
        <v>0.94014253324036745</v>
      </c>
      <c r="J134" s="1114">
        <v>5941.3384599800002</v>
      </c>
      <c r="K134" s="1114">
        <v>215941.33845998</v>
      </c>
      <c r="L134" s="4">
        <v>229690</v>
      </c>
    </row>
    <row r="135" spans="2:12" ht="13.5" thickBot="1" x14ac:dyDescent="0.25">
      <c r="B135" s="20"/>
      <c r="C135" s="640" t="s">
        <v>445</v>
      </c>
      <c r="D135" s="642">
        <f t="shared" si="5"/>
        <v>215900</v>
      </c>
      <c r="E135" s="642">
        <v>225000</v>
      </c>
      <c r="F135" s="76">
        <f t="shared" si="7"/>
        <v>5</v>
      </c>
      <c r="G135" s="642">
        <v>210800</v>
      </c>
      <c r="H135" s="14">
        <f t="shared" si="14"/>
        <v>210000</v>
      </c>
      <c r="I135" s="1114">
        <f t="shared" si="6"/>
        <v>0.92345112280251507</v>
      </c>
      <c r="J135" s="1114">
        <v>5893.6379999999999</v>
      </c>
      <c r="K135" s="1114">
        <v>215893.63800000001</v>
      </c>
      <c r="L135" s="4">
        <v>233790</v>
      </c>
    </row>
    <row r="136" spans="2:12" ht="13.5" thickBot="1" x14ac:dyDescent="0.25">
      <c r="B136" s="20"/>
      <c r="C136" s="640" t="s">
        <v>446</v>
      </c>
      <c r="D136" s="642">
        <f t="shared" si="5"/>
        <v>216040</v>
      </c>
      <c r="E136" s="642">
        <v>225000</v>
      </c>
      <c r="F136" s="76">
        <f t="shared" si="7"/>
        <v>5</v>
      </c>
      <c r="G136" s="642">
        <v>210800</v>
      </c>
      <c r="H136" s="14">
        <f t="shared" si="14"/>
        <v>210000</v>
      </c>
      <c r="I136" s="1114">
        <f t="shared" si="6"/>
        <v>0.92405863282126277</v>
      </c>
      <c r="J136" s="1114">
        <v>6035.6677672829992</v>
      </c>
      <c r="K136" s="1114">
        <v>216035.66776728301</v>
      </c>
      <c r="L136" s="4">
        <v>233790</v>
      </c>
    </row>
    <row r="137" spans="2:12" ht="13.5" thickBot="1" x14ac:dyDescent="0.25">
      <c r="B137" s="20"/>
      <c r="C137" s="640" t="s">
        <v>447</v>
      </c>
      <c r="D137" s="642">
        <f t="shared" si="5"/>
        <v>215940</v>
      </c>
      <c r="E137" s="642">
        <v>225000</v>
      </c>
      <c r="F137" s="76">
        <f t="shared" si="7"/>
        <v>5</v>
      </c>
      <c r="G137" s="642">
        <v>207100</v>
      </c>
      <c r="H137" s="14">
        <f t="shared" si="14"/>
        <v>210000</v>
      </c>
      <c r="I137" s="1114">
        <f t="shared" si="6"/>
        <v>0.94014253324036745</v>
      </c>
      <c r="J137" s="1114">
        <v>5941.3384599800002</v>
      </c>
      <c r="K137" s="1114">
        <v>215941.33845998</v>
      </c>
      <c r="L137" s="4">
        <v>229690</v>
      </c>
    </row>
    <row r="138" spans="2:12" ht="13.5" thickBot="1" x14ac:dyDescent="0.25">
      <c r="B138" s="20"/>
      <c r="C138" s="640" t="s">
        <v>448</v>
      </c>
      <c r="D138" s="642">
        <f t="shared" ref="D138:D201" si="15">ROUND((G138*$J$1)*I138,-1)</f>
        <v>215940</v>
      </c>
      <c r="E138" s="642">
        <v>225000</v>
      </c>
      <c r="F138" s="76">
        <f t="shared" si="7"/>
        <v>5</v>
      </c>
      <c r="G138" s="642">
        <v>211600</v>
      </c>
      <c r="H138" s="14">
        <f t="shared" si="14"/>
        <v>210000</v>
      </c>
      <c r="I138" s="1114">
        <f t="shared" ref="I138:I201" si="16">K138/L138</f>
        <v>0.92015228592116927</v>
      </c>
      <c r="J138" s="1114">
        <v>5941.3384599800002</v>
      </c>
      <c r="K138" s="1114">
        <v>215941.33845998</v>
      </c>
      <c r="L138" s="4">
        <v>234680</v>
      </c>
    </row>
    <row r="139" spans="2:12" ht="13.5" thickBot="1" x14ac:dyDescent="0.25">
      <c r="B139" s="20"/>
      <c r="C139" s="640" t="s">
        <v>449</v>
      </c>
      <c r="D139" s="642">
        <f t="shared" si="15"/>
        <v>216030</v>
      </c>
      <c r="E139" s="642">
        <v>225000</v>
      </c>
      <c r="F139" s="76">
        <f t="shared" ref="F139:F202" si="17">F138</f>
        <v>5</v>
      </c>
      <c r="G139" s="642">
        <v>215500</v>
      </c>
      <c r="H139" s="14">
        <f t="shared" si="14"/>
        <v>210000</v>
      </c>
      <c r="I139" s="1114">
        <f t="shared" si="16"/>
        <v>0.90387710877069161</v>
      </c>
      <c r="J139" s="1114">
        <v>6035.6677672829992</v>
      </c>
      <c r="K139" s="1114">
        <v>216035.66776728301</v>
      </c>
      <c r="L139" s="4">
        <v>239010</v>
      </c>
    </row>
    <row r="140" spans="2:12" ht="13.5" thickBot="1" x14ac:dyDescent="0.25">
      <c r="B140" s="20"/>
      <c r="C140" s="640" t="s">
        <v>450</v>
      </c>
      <c r="D140" s="642">
        <f t="shared" si="15"/>
        <v>216030</v>
      </c>
      <c r="E140" s="642">
        <v>225000</v>
      </c>
      <c r="F140" s="76">
        <f t="shared" si="17"/>
        <v>5</v>
      </c>
      <c r="G140" s="642">
        <v>215500</v>
      </c>
      <c r="H140" s="14">
        <f t="shared" si="14"/>
        <v>210000</v>
      </c>
      <c r="I140" s="1114">
        <f t="shared" si="16"/>
        <v>0.90387710877069161</v>
      </c>
      <c r="J140" s="1114">
        <v>6035.6677672829992</v>
      </c>
      <c r="K140" s="1114">
        <v>216035.66776728301</v>
      </c>
      <c r="L140" s="4">
        <v>239010</v>
      </c>
    </row>
    <row r="141" spans="2:12" ht="13.5" thickBot="1" x14ac:dyDescent="0.25">
      <c r="B141" s="20"/>
      <c r="C141" s="640" t="s">
        <v>451</v>
      </c>
      <c r="D141" s="642">
        <f t="shared" si="15"/>
        <v>215940</v>
      </c>
      <c r="E141" s="642">
        <v>225000</v>
      </c>
      <c r="F141" s="76">
        <f t="shared" si="17"/>
        <v>5</v>
      </c>
      <c r="G141" s="642">
        <v>211600</v>
      </c>
      <c r="H141" s="14">
        <f t="shared" si="14"/>
        <v>210000</v>
      </c>
      <c r="I141" s="1114">
        <f t="shared" si="16"/>
        <v>0.92015228592116927</v>
      </c>
      <c r="J141" s="1114">
        <v>5941.3384599800002</v>
      </c>
      <c r="K141" s="1114">
        <v>215941.33845998</v>
      </c>
      <c r="L141" s="4">
        <v>234680</v>
      </c>
    </row>
    <row r="142" spans="2:12" ht="13.5" thickBot="1" x14ac:dyDescent="0.25">
      <c r="B142" s="20"/>
      <c r="C142" s="640" t="s">
        <v>452</v>
      </c>
      <c r="D142" s="642">
        <f t="shared" si="15"/>
        <v>215940</v>
      </c>
      <c r="E142" s="642">
        <v>225000</v>
      </c>
      <c r="F142" s="76">
        <f t="shared" si="17"/>
        <v>5</v>
      </c>
      <c r="G142" s="642">
        <v>207100</v>
      </c>
      <c r="H142" s="14">
        <f t="shared" si="14"/>
        <v>210000</v>
      </c>
      <c r="I142" s="1114">
        <f t="shared" si="16"/>
        <v>0.94014253324036745</v>
      </c>
      <c r="J142" s="1114">
        <v>5941.3384599800002</v>
      </c>
      <c r="K142" s="1114">
        <v>215941.33845998</v>
      </c>
      <c r="L142" s="4">
        <v>229690</v>
      </c>
    </row>
    <row r="143" spans="2:12" ht="13.5" thickBot="1" x14ac:dyDescent="0.25">
      <c r="B143" s="20"/>
      <c r="C143" s="640" t="s">
        <v>453</v>
      </c>
      <c r="D143" s="642">
        <f t="shared" si="15"/>
        <v>216040</v>
      </c>
      <c r="E143" s="642">
        <v>225000</v>
      </c>
      <c r="F143" s="76">
        <f t="shared" si="17"/>
        <v>5</v>
      </c>
      <c r="G143" s="642">
        <v>210800</v>
      </c>
      <c r="H143" s="14">
        <f t="shared" si="14"/>
        <v>210000</v>
      </c>
      <c r="I143" s="1114">
        <f t="shared" si="16"/>
        <v>0.92405863282126277</v>
      </c>
      <c r="J143" s="1114">
        <v>6035.6677672829992</v>
      </c>
      <c r="K143" s="1114">
        <v>216035.66776728301</v>
      </c>
      <c r="L143" s="4">
        <v>233790</v>
      </c>
    </row>
    <row r="144" spans="2:12" ht="13.5" thickBot="1" x14ac:dyDescent="0.25">
      <c r="B144" s="20"/>
      <c r="C144" s="640" t="s">
        <v>454</v>
      </c>
      <c r="D144" s="642">
        <f t="shared" si="15"/>
        <v>216040</v>
      </c>
      <c r="E144" s="642">
        <v>225000</v>
      </c>
      <c r="F144" s="76">
        <f t="shared" si="17"/>
        <v>5</v>
      </c>
      <c r="G144" s="642">
        <v>210800</v>
      </c>
      <c r="H144" s="14">
        <f t="shared" si="14"/>
        <v>210000</v>
      </c>
      <c r="I144" s="1114">
        <f t="shared" si="16"/>
        <v>0.92405863282126277</v>
      </c>
      <c r="J144" s="1114">
        <v>6035.6677672829992</v>
      </c>
      <c r="K144" s="1114">
        <v>216035.66776728301</v>
      </c>
      <c r="L144" s="4">
        <v>233790</v>
      </c>
    </row>
    <row r="145" spans="2:12" ht="13.5" thickBot="1" x14ac:dyDescent="0.25">
      <c r="B145" s="20"/>
      <c r="C145" s="640" t="s">
        <v>455</v>
      </c>
      <c r="D145" s="642">
        <f t="shared" si="15"/>
        <v>215940</v>
      </c>
      <c r="E145" s="642">
        <v>225000</v>
      </c>
      <c r="F145" s="76">
        <f t="shared" si="17"/>
        <v>5</v>
      </c>
      <c r="G145" s="642">
        <v>207100</v>
      </c>
      <c r="H145" s="14">
        <f t="shared" si="14"/>
        <v>210000</v>
      </c>
      <c r="I145" s="1114">
        <f t="shared" si="16"/>
        <v>0.94014253324036745</v>
      </c>
      <c r="J145" s="1114">
        <v>5941.3384599800002</v>
      </c>
      <c r="K145" s="1114">
        <v>215941.33845998</v>
      </c>
      <c r="L145" s="4">
        <v>229690</v>
      </c>
    </row>
    <row r="146" spans="2:12" ht="13.5" thickBot="1" x14ac:dyDescent="0.25">
      <c r="B146" s="20"/>
      <c r="C146" s="640" t="s">
        <v>456</v>
      </c>
      <c r="D146" s="642">
        <f t="shared" si="15"/>
        <v>215940</v>
      </c>
      <c r="E146" s="642">
        <v>225000</v>
      </c>
      <c r="F146" s="76">
        <f t="shared" si="17"/>
        <v>5</v>
      </c>
      <c r="G146" s="642">
        <v>211600</v>
      </c>
      <c r="H146" s="14">
        <f t="shared" si="14"/>
        <v>210000</v>
      </c>
      <c r="I146" s="1114">
        <f t="shared" si="16"/>
        <v>0.92015228592116927</v>
      </c>
      <c r="J146" s="1114">
        <v>5941.3384599800002</v>
      </c>
      <c r="K146" s="1114">
        <v>215941.33845998</v>
      </c>
      <c r="L146" s="4">
        <v>234680</v>
      </c>
    </row>
    <row r="147" spans="2:12" ht="13.5" thickBot="1" x14ac:dyDescent="0.25">
      <c r="B147" s="20"/>
      <c r="C147" s="640" t="s">
        <v>457</v>
      </c>
      <c r="D147" s="642">
        <f t="shared" si="15"/>
        <v>216010</v>
      </c>
      <c r="E147" s="642">
        <v>225000</v>
      </c>
      <c r="F147" s="76">
        <f t="shared" si="17"/>
        <v>5</v>
      </c>
      <c r="G147" s="642">
        <v>215500</v>
      </c>
      <c r="H147" s="14">
        <f t="shared" si="14"/>
        <v>210000</v>
      </c>
      <c r="I147" s="1114">
        <f t="shared" si="16"/>
        <v>0.90379820509602116</v>
      </c>
      <c r="J147" s="1114">
        <v>6016.8089999999993</v>
      </c>
      <c r="K147" s="1114">
        <v>216016.80900000001</v>
      </c>
      <c r="L147" s="4">
        <v>239010</v>
      </c>
    </row>
    <row r="148" spans="2:12" ht="13.5" thickBot="1" x14ac:dyDescent="0.25">
      <c r="B148" s="20"/>
      <c r="C148" s="640" t="s">
        <v>458</v>
      </c>
      <c r="D148" s="642">
        <f t="shared" si="15"/>
        <v>216040</v>
      </c>
      <c r="E148" s="642">
        <v>225000</v>
      </c>
      <c r="F148" s="76">
        <f t="shared" si="17"/>
        <v>5</v>
      </c>
      <c r="G148" s="642">
        <v>233000</v>
      </c>
      <c r="H148" s="14">
        <f t="shared" si="14"/>
        <v>210000</v>
      </c>
      <c r="I148" s="1114">
        <f t="shared" si="16"/>
        <v>0.83601899217245079</v>
      </c>
      <c r="J148" s="1114">
        <v>6035.6677672829992</v>
      </c>
      <c r="K148" s="1114">
        <v>216035.66776728301</v>
      </c>
      <c r="L148" s="4">
        <v>258410</v>
      </c>
    </row>
    <row r="149" spans="2:12" ht="13.5" thickBot="1" x14ac:dyDescent="0.25">
      <c r="B149" s="20"/>
      <c r="C149" s="640" t="s">
        <v>459</v>
      </c>
      <c r="D149" s="642">
        <f t="shared" si="15"/>
        <v>215940</v>
      </c>
      <c r="E149" s="642">
        <v>225000</v>
      </c>
      <c r="F149" s="76">
        <f t="shared" si="17"/>
        <v>5</v>
      </c>
      <c r="G149" s="642">
        <v>229100</v>
      </c>
      <c r="H149" s="14">
        <f t="shared" si="14"/>
        <v>210000</v>
      </c>
      <c r="I149" s="1114">
        <f t="shared" si="16"/>
        <v>0.84986161777315128</v>
      </c>
      <c r="J149" s="1114">
        <v>5941.3384599800002</v>
      </c>
      <c r="K149" s="1114">
        <v>215941.33845998</v>
      </c>
      <c r="L149" s="4">
        <v>254090</v>
      </c>
    </row>
    <row r="150" spans="2:12" ht="13.5" thickBot="1" x14ac:dyDescent="0.25">
      <c r="B150" s="20"/>
      <c r="C150" s="640" t="s">
        <v>460</v>
      </c>
      <c r="D150" s="642">
        <f t="shared" si="15"/>
        <v>215940</v>
      </c>
      <c r="E150" s="642">
        <v>225000</v>
      </c>
      <c r="F150" s="76">
        <f t="shared" si="17"/>
        <v>5</v>
      </c>
      <c r="G150" s="642">
        <v>207100</v>
      </c>
      <c r="H150" s="14">
        <f t="shared" si="14"/>
        <v>210000</v>
      </c>
      <c r="I150" s="1114">
        <f t="shared" si="16"/>
        <v>0.94014253324036745</v>
      </c>
      <c r="J150" s="1114">
        <v>5941.3384599800002</v>
      </c>
      <c r="K150" s="1114">
        <v>215941.33845998</v>
      </c>
      <c r="L150" s="4">
        <v>229690</v>
      </c>
    </row>
    <row r="151" spans="2:12" ht="13.5" thickBot="1" x14ac:dyDescent="0.25">
      <c r="B151" s="20"/>
      <c r="C151" s="640" t="s">
        <v>461</v>
      </c>
      <c r="D151" s="642">
        <f t="shared" si="15"/>
        <v>216040</v>
      </c>
      <c r="E151" s="642">
        <v>225000</v>
      </c>
      <c r="F151" s="76">
        <f t="shared" si="17"/>
        <v>5</v>
      </c>
      <c r="G151" s="642">
        <v>210800</v>
      </c>
      <c r="H151" s="14">
        <f t="shared" si="14"/>
        <v>210000</v>
      </c>
      <c r="I151" s="1114">
        <f t="shared" si="16"/>
        <v>0.92405863282126277</v>
      </c>
      <c r="J151" s="1114">
        <v>6035.6677672829992</v>
      </c>
      <c r="K151" s="1114">
        <v>216035.66776728301</v>
      </c>
      <c r="L151" s="4">
        <v>233790</v>
      </c>
    </row>
    <row r="152" spans="2:12" ht="13.5" thickBot="1" x14ac:dyDescent="0.25">
      <c r="B152" s="20"/>
      <c r="C152" s="640" t="s">
        <v>462</v>
      </c>
      <c r="D152" s="642">
        <f t="shared" si="15"/>
        <v>216040</v>
      </c>
      <c r="E152" s="642">
        <v>225000</v>
      </c>
      <c r="F152" s="76">
        <f t="shared" si="17"/>
        <v>5</v>
      </c>
      <c r="G152" s="642">
        <v>210800</v>
      </c>
      <c r="H152" s="14">
        <f t="shared" si="14"/>
        <v>210000</v>
      </c>
      <c r="I152" s="1114">
        <f t="shared" si="16"/>
        <v>0.92405863282126277</v>
      </c>
      <c r="J152" s="1114">
        <v>6035.6677672829992</v>
      </c>
      <c r="K152" s="1114">
        <v>216035.66776728301</v>
      </c>
      <c r="L152" s="4">
        <v>233790</v>
      </c>
    </row>
    <row r="153" spans="2:12" ht="13.5" thickBot="1" x14ac:dyDescent="0.25">
      <c r="B153" s="20"/>
      <c r="C153" s="640" t="s">
        <v>463</v>
      </c>
      <c r="D153" s="642">
        <f t="shared" si="15"/>
        <v>215940</v>
      </c>
      <c r="E153" s="642">
        <v>225000</v>
      </c>
      <c r="F153" s="76">
        <f t="shared" si="17"/>
        <v>5</v>
      </c>
      <c r="G153" s="642">
        <v>207100</v>
      </c>
      <c r="H153" s="14">
        <f t="shared" si="14"/>
        <v>210000</v>
      </c>
      <c r="I153" s="1114">
        <f t="shared" si="16"/>
        <v>0.94014253324036745</v>
      </c>
      <c r="J153" s="1114">
        <v>5941.3384599800002</v>
      </c>
      <c r="K153" s="1114">
        <v>215941.33845998</v>
      </c>
      <c r="L153" s="4">
        <v>229690</v>
      </c>
    </row>
    <row r="154" spans="2:12" ht="13.5" thickBot="1" x14ac:dyDescent="0.25">
      <c r="B154" s="20"/>
      <c r="C154" s="640" t="s">
        <v>464</v>
      </c>
      <c r="D154" s="642">
        <f t="shared" si="15"/>
        <v>215940</v>
      </c>
      <c r="E154" s="642">
        <v>225000</v>
      </c>
      <c r="F154" s="76">
        <f t="shared" si="17"/>
        <v>5</v>
      </c>
      <c r="G154" s="642">
        <v>211600</v>
      </c>
      <c r="H154" s="14">
        <f t="shared" si="14"/>
        <v>210000</v>
      </c>
      <c r="I154" s="1114">
        <f t="shared" si="16"/>
        <v>0.92015228592116927</v>
      </c>
      <c r="J154" s="1114">
        <v>5941.3384599800002</v>
      </c>
      <c r="K154" s="1114">
        <v>215941.33845998</v>
      </c>
      <c r="L154" s="4">
        <v>234680</v>
      </c>
    </row>
    <row r="155" spans="2:12" ht="13.5" thickBot="1" x14ac:dyDescent="0.25">
      <c r="B155" s="20"/>
      <c r="C155" s="640" t="s">
        <v>465</v>
      </c>
      <c r="D155" s="642">
        <f t="shared" si="15"/>
        <v>216040</v>
      </c>
      <c r="E155" s="642">
        <v>225000</v>
      </c>
      <c r="F155" s="76">
        <f t="shared" si="17"/>
        <v>5</v>
      </c>
      <c r="G155" s="642">
        <v>233000</v>
      </c>
      <c r="H155" s="14">
        <f t="shared" si="14"/>
        <v>210000</v>
      </c>
      <c r="I155" s="1114">
        <f t="shared" si="16"/>
        <v>0.83601899217245079</v>
      </c>
      <c r="J155" s="1114">
        <v>6035.6677672829992</v>
      </c>
      <c r="K155" s="1114">
        <v>216035.66776728301</v>
      </c>
      <c r="L155" s="4">
        <v>258410</v>
      </c>
    </row>
    <row r="156" spans="2:12" ht="13.5" thickBot="1" x14ac:dyDescent="0.25">
      <c r="B156" s="20"/>
      <c r="C156" s="640" t="s">
        <v>466</v>
      </c>
      <c r="D156" s="642">
        <f t="shared" si="15"/>
        <v>246040</v>
      </c>
      <c r="E156" s="642">
        <v>225000</v>
      </c>
      <c r="F156" s="76">
        <f t="shared" si="17"/>
        <v>5</v>
      </c>
      <c r="G156" s="642">
        <v>233000</v>
      </c>
      <c r="H156" s="14" t="str">
        <f>IF(D156&gt;=$J$8,$J$7,"Não alterar")</f>
        <v>Não alterar</v>
      </c>
      <c r="I156" s="1114">
        <f t="shared" si="16"/>
        <v>0.95211357055564028</v>
      </c>
      <c r="J156" s="1114">
        <v>6035.6677672829992</v>
      </c>
      <c r="K156" s="1114">
        <v>246035.66776728301</v>
      </c>
      <c r="L156" s="4">
        <v>258410</v>
      </c>
    </row>
    <row r="157" spans="2:12" ht="13.5" thickBot="1" x14ac:dyDescent="0.25">
      <c r="B157" s="20"/>
      <c r="C157" s="640" t="s">
        <v>467</v>
      </c>
      <c r="D157" s="642">
        <f t="shared" si="15"/>
        <v>245940</v>
      </c>
      <c r="E157" s="642">
        <v>225000</v>
      </c>
      <c r="F157" s="76">
        <f t="shared" si="17"/>
        <v>5</v>
      </c>
      <c r="G157" s="642">
        <v>229100</v>
      </c>
      <c r="H157" s="14" t="str">
        <f t="shared" ref="H157:H220" si="18">IF(D157&gt;=$J$8,$J$7,"Não alterar")</f>
        <v>Não alterar</v>
      </c>
      <c r="I157" s="1114">
        <f t="shared" si="16"/>
        <v>0.96793001873344098</v>
      </c>
      <c r="J157" s="1114">
        <v>5941.3384599800002</v>
      </c>
      <c r="K157" s="1114">
        <v>245941.33845998</v>
      </c>
      <c r="L157" s="4">
        <v>254090</v>
      </c>
    </row>
    <row r="158" spans="2:12" ht="13.5" thickBot="1" x14ac:dyDescent="0.25">
      <c r="B158" s="20"/>
      <c r="C158" s="640" t="s">
        <v>468</v>
      </c>
      <c r="D158" s="642">
        <f t="shared" si="15"/>
        <v>245940</v>
      </c>
      <c r="E158" s="642">
        <v>225000</v>
      </c>
      <c r="F158" s="76">
        <f t="shared" si="17"/>
        <v>5</v>
      </c>
      <c r="G158" s="642">
        <v>224600</v>
      </c>
      <c r="H158" s="14" t="str">
        <f t="shared" si="18"/>
        <v>Não alterar</v>
      </c>
      <c r="I158" s="1114">
        <f t="shared" si="16"/>
        <v>0.98731970477711761</v>
      </c>
      <c r="J158" s="1114">
        <v>5941.3384599800002</v>
      </c>
      <c r="K158" s="1114">
        <v>245941.33845998</v>
      </c>
      <c r="L158" s="4">
        <v>249100</v>
      </c>
    </row>
    <row r="159" spans="2:12" ht="13.5" thickBot="1" x14ac:dyDescent="0.25">
      <c r="B159" s="20"/>
      <c r="C159" s="640" t="s">
        <v>469</v>
      </c>
      <c r="D159" s="642">
        <f t="shared" si="15"/>
        <v>246040</v>
      </c>
      <c r="E159" s="642">
        <v>225000</v>
      </c>
      <c r="F159" s="76">
        <f t="shared" si="17"/>
        <v>5</v>
      </c>
      <c r="G159" s="642">
        <v>228300</v>
      </c>
      <c r="H159" s="14" t="str">
        <f t="shared" si="18"/>
        <v>Não alterar</v>
      </c>
      <c r="I159" s="1114">
        <f t="shared" si="16"/>
        <v>0.97170484900190768</v>
      </c>
      <c r="J159" s="1114">
        <v>6035.6677672829992</v>
      </c>
      <c r="K159" s="1114">
        <v>246035.66776728301</v>
      </c>
      <c r="L159" s="4">
        <v>253200</v>
      </c>
    </row>
    <row r="160" spans="2:12" ht="13.5" thickBot="1" x14ac:dyDescent="0.25">
      <c r="B160" s="20"/>
      <c r="C160" s="640" t="s">
        <v>470</v>
      </c>
      <c r="D160" s="642">
        <f t="shared" si="15"/>
        <v>246040</v>
      </c>
      <c r="E160" s="642">
        <v>225000</v>
      </c>
      <c r="F160" s="76">
        <f t="shared" si="17"/>
        <v>5</v>
      </c>
      <c r="G160" s="642">
        <v>228300</v>
      </c>
      <c r="H160" s="14" t="str">
        <f t="shared" si="18"/>
        <v>Não alterar</v>
      </c>
      <c r="I160" s="1114">
        <f t="shared" si="16"/>
        <v>0.97170484900190768</v>
      </c>
      <c r="J160" s="1114">
        <v>6035.6677672829992</v>
      </c>
      <c r="K160" s="1114">
        <v>246035.66776728301</v>
      </c>
      <c r="L160" s="4">
        <v>253200</v>
      </c>
    </row>
    <row r="161" spans="2:12" ht="13.5" thickBot="1" x14ac:dyDescent="0.25">
      <c r="B161" s="20"/>
      <c r="C161" s="640" t="s">
        <v>471</v>
      </c>
      <c r="D161" s="642">
        <f t="shared" si="15"/>
        <v>245940</v>
      </c>
      <c r="E161" s="642">
        <v>225000</v>
      </c>
      <c r="F161" s="76">
        <f t="shared" si="17"/>
        <v>5</v>
      </c>
      <c r="G161" s="642">
        <v>224600</v>
      </c>
      <c r="H161" s="14" t="str">
        <f t="shared" si="18"/>
        <v>Não alterar</v>
      </c>
      <c r="I161" s="1114">
        <f t="shared" si="16"/>
        <v>0.98731970477711761</v>
      </c>
      <c r="J161" s="1114">
        <v>5941.3384599800002</v>
      </c>
      <c r="K161" s="1114">
        <v>245941.33845998</v>
      </c>
      <c r="L161" s="4">
        <v>249100</v>
      </c>
    </row>
    <row r="162" spans="2:12" ht="13.5" thickBot="1" x14ac:dyDescent="0.25">
      <c r="B162" s="20"/>
      <c r="C162" s="640" t="s">
        <v>472</v>
      </c>
      <c r="D162" s="642">
        <f t="shared" si="15"/>
        <v>245940</v>
      </c>
      <c r="E162" s="642">
        <v>225000</v>
      </c>
      <c r="F162" s="76">
        <f t="shared" si="17"/>
        <v>5</v>
      </c>
      <c r="G162" s="642">
        <v>229100</v>
      </c>
      <c r="H162" s="14" t="str">
        <f t="shared" si="18"/>
        <v>Não alterar</v>
      </c>
      <c r="I162" s="1114">
        <f t="shared" si="16"/>
        <v>0.96793001873344098</v>
      </c>
      <c r="J162" s="1114">
        <v>5941.3384599800002</v>
      </c>
      <c r="K162" s="1114">
        <v>245941.33845998</v>
      </c>
      <c r="L162" s="4">
        <v>254090</v>
      </c>
    </row>
    <row r="163" spans="2:12" ht="13.5" thickBot="1" x14ac:dyDescent="0.25">
      <c r="B163" s="20"/>
      <c r="C163" s="640" t="s">
        <v>473</v>
      </c>
      <c r="D163" s="642">
        <f t="shared" si="15"/>
        <v>246040</v>
      </c>
      <c r="E163" s="642">
        <v>225000</v>
      </c>
      <c r="F163" s="76">
        <f t="shared" si="17"/>
        <v>5</v>
      </c>
      <c r="G163" s="642">
        <v>233000</v>
      </c>
      <c r="H163" s="14" t="str">
        <f t="shared" si="18"/>
        <v>Não alterar</v>
      </c>
      <c r="I163" s="1114">
        <f t="shared" si="16"/>
        <v>0.95211357055564028</v>
      </c>
      <c r="J163" s="1114">
        <v>6035.6677672829992</v>
      </c>
      <c r="K163" s="1114">
        <v>246035.66776728301</v>
      </c>
      <c r="L163" s="4">
        <v>258410</v>
      </c>
    </row>
    <row r="164" spans="2:12" ht="13.5" thickBot="1" x14ac:dyDescent="0.25">
      <c r="B164" s="20"/>
      <c r="C164" s="640" t="s">
        <v>474</v>
      </c>
      <c r="D164" s="642">
        <f t="shared" si="15"/>
        <v>246030</v>
      </c>
      <c r="E164" s="642">
        <v>225000</v>
      </c>
      <c r="F164" s="76">
        <f t="shared" si="17"/>
        <v>5</v>
      </c>
      <c r="G164" s="642">
        <v>235400</v>
      </c>
      <c r="H164" s="14" t="str">
        <f t="shared" si="18"/>
        <v>Não alterar</v>
      </c>
      <c r="I164" s="1114">
        <f t="shared" si="16"/>
        <v>0.94237654269680948</v>
      </c>
      <c r="J164" s="1114">
        <v>6035.6677672829992</v>
      </c>
      <c r="K164" s="1114">
        <v>246035.66776728301</v>
      </c>
      <c r="L164" s="4">
        <v>261080</v>
      </c>
    </row>
    <row r="165" spans="2:12" ht="13.5" thickBot="1" x14ac:dyDescent="0.25">
      <c r="B165" s="20"/>
      <c r="C165" s="640" t="s">
        <v>475</v>
      </c>
      <c r="D165" s="642">
        <f t="shared" si="15"/>
        <v>245940</v>
      </c>
      <c r="E165" s="642">
        <v>225000</v>
      </c>
      <c r="F165" s="76">
        <f t="shared" si="17"/>
        <v>5</v>
      </c>
      <c r="G165" s="642">
        <v>231500</v>
      </c>
      <c r="H165" s="14" t="str">
        <f t="shared" si="18"/>
        <v>Não alterar</v>
      </c>
      <c r="I165" s="1114">
        <f t="shared" si="16"/>
        <v>0.95790199984412849</v>
      </c>
      <c r="J165" s="1114">
        <v>5941.3384599800002</v>
      </c>
      <c r="K165" s="1114">
        <v>245941.33845998</v>
      </c>
      <c r="L165" s="4">
        <v>256750</v>
      </c>
    </row>
    <row r="166" spans="2:12" ht="13.5" thickBot="1" x14ac:dyDescent="0.25">
      <c r="B166" s="20"/>
      <c r="C166" s="640" t="s">
        <v>476</v>
      </c>
      <c r="D166" s="642">
        <f t="shared" si="15"/>
        <v>245940</v>
      </c>
      <c r="E166" s="642">
        <v>225000</v>
      </c>
      <c r="F166" s="76">
        <f t="shared" si="17"/>
        <v>5</v>
      </c>
      <c r="G166" s="642">
        <v>226900</v>
      </c>
      <c r="H166" s="14" t="str">
        <f t="shared" si="18"/>
        <v>Não alterar</v>
      </c>
      <c r="I166" s="1114">
        <f t="shared" si="16"/>
        <v>0.97731507434921516</v>
      </c>
      <c r="J166" s="1114">
        <v>5941.3384599800002</v>
      </c>
      <c r="K166" s="1114">
        <v>245941.33845998</v>
      </c>
      <c r="L166" s="4">
        <v>251650</v>
      </c>
    </row>
    <row r="167" spans="2:12" ht="13.5" thickBot="1" x14ac:dyDescent="0.25">
      <c r="B167" s="20"/>
      <c r="C167" s="640" t="s">
        <v>477</v>
      </c>
      <c r="D167" s="642">
        <f t="shared" si="15"/>
        <v>246040</v>
      </c>
      <c r="E167" s="642">
        <v>225000</v>
      </c>
      <c r="F167" s="76">
        <f t="shared" si="17"/>
        <v>5</v>
      </c>
      <c r="G167" s="642">
        <v>230700</v>
      </c>
      <c r="H167" s="14" t="str">
        <f t="shared" si="18"/>
        <v>Não alterar</v>
      </c>
      <c r="I167" s="1114">
        <f t="shared" si="16"/>
        <v>0.96160270369453227</v>
      </c>
      <c r="J167" s="1114">
        <v>6035.6677672829992</v>
      </c>
      <c r="K167" s="1114">
        <v>246035.66776728301</v>
      </c>
      <c r="L167" s="4">
        <v>255860</v>
      </c>
    </row>
    <row r="168" spans="2:12" ht="13.5" thickBot="1" x14ac:dyDescent="0.25">
      <c r="B168" s="20"/>
      <c r="C168" s="640" t="s">
        <v>478</v>
      </c>
      <c r="D168" s="642">
        <f t="shared" si="15"/>
        <v>246040</v>
      </c>
      <c r="E168" s="642">
        <v>225000</v>
      </c>
      <c r="F168" s="76">
        <f t="shared" si="17"/>
        <v>5</v>
      </c>
      <c r="G168" s="642">
        <v>230700</v>
      </c>
      <c r="H168" s="14" t="str">
        <f t="shared" si="18"/>
        <v>Não alterar</v>
      </c>
      <c r="I168" s="1114">
        <f t="shared" si="16"/>
        <v>0.96160270369453227</v>
      </c>
      <c r="J168" s="1114">
        <v>6035.6677672829992</v>
      </c>
      <c r="K168" s="1114">
        <v>246035.66776728301</v>
      </c>
      <c r="L168" s="4">
        <v>255860</v>
      </c>
    </row>
    <row r="169" spans="2:12" ht="13.5" thickBot="1" x14ac:dyDescent="0.25">
      <c r="B169" s="20"/>
      <c r="C169" s="640" t="s">
        <v>479</v>
      </c>
      <c r="D169" s="642">
        <f t="shared" si="15"/>
        <v>245940</v>
      </c>
      <c r="E169" s="642">
        <v>225000</v>
      </c>
      <c r="F169" s="76">
        <f t="shared" si="17"/>
        <v>5</v>
      </c>
      <c r="G169" s="642">
        <v>226900</v>
      </c>
      <c r="H169" s="14" t="str">
        <f t="shared" si="18"/>
        <v>Não alterar</v>
      </c>
      <c r="I169" s="1114">
        <f t="shared" si="16"/>
        <v>0.97731507434921516</v>
      </c>
      <c r="J169" s="1114">
        <v>5941.3384599800002</v>
      </c>
      <c r="K169" s="1114">
        <v>245941.33845998</v>
      </c>
      <c r="L169" s="4">
        <v>251650</v>
      </c>
    </row>
    <row r="170" spans="2:12" ht="13.5" thickBot="1" x14ac:dyDescent="0.25">
      <c r="B170" s="20"/>
      <c r="C170" s="640" t="s">
        <v>480</v>
      </c>
      <c r="D170" s="642">
        <f t="shared" si="15"/>
        <v>245940</v>
      </c>
      <c r="E170" s="642">
        <v>225000</v>
      </c>
      <c r="F170" s="76">
        <f t="shared" si="17"/>
        <v>5</v>
      </c>
      <c r="G170" s="642">
        <v>231500</v>
      </c>
      <c r="H170" s="14" t="str">
        <f t="shared" si="18"/>
        <v>Não alterar</v>
      </c>
      <c r="I170" s="1114">
        <f t="shared" si="16"/>
        <v>0.95790199984412849</v>
      </c>
      <c r="J170" s="1114">
        <v>5941.3384599800002</v>
      </c>
      <c r="K170" s="1114">
        <v>245941.33845998</v>
      </c>
      <c r="L170" s="4">
        <v>256750</v>
      </c>
    </row>
    <row r="171" spans="2:12" ht="13.5" thickBot="1" x14ac:dyDescent="0.25">
      <c r="B171" s="20"/>
      <c r="C171" s="640" t="s">
        <v>481</v>
      </c>
      <c r="D171" s="642">
        <f t="shared" si="15"/>
        <v>246030</v>
      </c>
      <c r="E171" s="642">
        <v>225000</v>
      </c>
      <c r="F171" s="76">
        <f t="shared" si="17"/>
        <v>5</v>
      </c>
      <c r="G171" s="642">
        <v>235400</v>
      </c>
      <c r="H171" s="14" t="str">
        <f t="shared" si="18"/>
        <v>Não alterar</v>
      </c>
      <c r="I171" s="1114">
        <f t="shared" si="16"/>
        <v>0.94237654269680948</v>
      </c>
      <c r="J171" s="1114">
        <v>6035.6677672829992</v>
      </c>
      <c r="K171" s="1114">
        <v>246035.66776728301</v>
      </c>
      <c r="L171" s="4">
        <v>261080</v>
      </c>
    </row>
    <row r="172" spans="2:12" ht="13.5" thickBot="1" x14ac:dyDescent="0.25">
      <c r="B172" s="20"/>
      <c r="C172" s="640" t="s">
        <v>482</v>
      </c>
      <c r="D172" s="642">
        <f t="shared" si="15"/>
        <v>246030</v>
      </c>
      <c r="E172" s="642">
        <v>225000</v>
      </c>
      <c r="F172" s="76">
        <f t="shared" si="17"/>
        <v>5</v>
      </c>
      <c r="G172" s="642">
        <v>235400</v>
      </c>
      <c r="H172" s="14" t="str">
        <f t="shared" si="18"/>
        <v>Não alterar</v>
      </c>
      <c r="I172" s="1114">
        <f t="shared" si="16"/>
        <v>0.94237654269680948</v>
      </c>
      <c r="J172" s="1114">
        <v>6035.6677672829992</v>
      </c>
      <c r="K172" s="1114">
        <v>246035.66776728301</v>
      </c>
      <c r="L172" s="4">
        <v>261080</v>
      </c>
    </row>
    <row r="173" spans="2:12" ht="13.5" thickBot="1" x14ac:dyDescent="0.25">
      <c r="B173" s="20"/>
      <c r="C173" s="640" t="s">
        <v>483</v>
      </c>
      <c r="D173" s="642">
        <f t="shared" si="15"/>
        <v>245940</v>
      </c>
      <c r="E173" s="642">
        <v>225000</v>
      </c>
      <c r="F173" s="76">
        <f t="shared" si="17"/>
        <v>5</v>
      </c>
      <c r="G173" s="642">
        <v>231500</v>
      </c>
      <c r="H173" s="14" t="str">
        <f t="shared" si="18"/>
        <v>Não alterar</v>
      </c>
      <c r="I173" s="1114">
        <f t="shared" si="16"/>
        <v>0.95790199984412849</v>
      </c>
      <c r="J173" s="1114">
        <v>5941.3384599800002</v>
      </c>
      <c r="K173" s="1114">
        <v>245941.33845998</v>
      </c>
      <c r="L173" s="4">
        <v>256750</v>
      </c>
    </row>
    <row r="174" spans="2:12" ht="13.5" thickBot="1" x14ac:dyDescent="0.25">
      <c r="B174" s="20"/>
      <c r="C174" s="640" t="s">
        <v>484</v>
      </c>
      <c r="D174" s="642">
        <f t="shared" si="15"/>
        <v>245940</v>
      </c>
      <c r="E174" s="642">
        <v>225000</v>
      </c>
      <c r="F174" s="76">
        <f t="shared" si="17"/>
        <v>5</v>
      </c>
      <c r="G174" s="642">
        <v>226900</v>
      </c>
      <c r="H174" s="14" t="str">
        <f t="shared" si="18"/>
        <v>Não alterar</v>
      </c>
      <c r="I174" s="1114">
        <f t="shared" si="16"/>
        <v>0.97731507434921516</v>
      </c>
      <c r="J174" s="1114">
        <v>5941.3384599800002</v>
      </c>
      <c r="K174" s="1114">
        <v>245941.33845998</v>
      </c>
      <c r="L174" s="4">
        <v>251650</v>
      </c>
    </row>
    <row r="175" spans="2:12" ht="13.5" thickBot="1" x14ac:dyDescent="0.25">
      <c r="B175" s="20"/>
      <c r="C175" s="640" t="s">
        <v>485</v>
      </c>
      <c r="D175" s="642">
        <f t="shared" si="15"/>
        <v>246040</v>
      </c>
      <c r="E175" s="642">
        <v>225000</v>
      </c>
      <c r="F175" s="76">
        <f t="shared" si="17"/>
        <v>5</v>
      </c>
      <c r="G175" s="642">
        <v>230700</v>
      </c>
      <c r="H175" s="14" t="str">
        <f t="shared" si="18"/>
        <v>Não alterar</v>
      </c>
      <c r="I175" s="1114">
        <f t="shared" si="16"/>
        <v>0.96160270369453227</v>
      </c>
      <c r="J175" s="1114">
        <v>6035.6677672829992</v>
      </c>
      <c r="K175" s="1114">
        <v>246035.66776728301</v>
      </c>
      <c r="L175" s="4">
        <v>255860</v>
      </c>
    </row>
    <row r="176" spans="2:12" ht="13.5" thickBot="1" x14ac:dyDescent="0.25">
      <c r="B176" s="20"/>
      <c r="C176" s="640" t="s">
        <v>486</v>
      </c>
      <c r="D176" s="642">
        <f t="shared" si="15"/>
        <v>246040</v>
      </c>
      <c r="E176" s="642">
        <v>225000</v>
      </c>
      <c r="F176" s="76">
        <f t="shared" si="17"/>
        <v>5</v>
      </c>
      <c r="G176" s="642">
        <v>230700</v>
      </c>
      <c r="H176" s="14" t="str">
        <f t="shared" si="18"/>
        <v>Não alterar</v>
      </c>
      <c r="I176" s="1114">
        <f t="shared" si="16"/>
        <v>0.96160270369453227</v>
      </c>
      <c r="J176" s="1114">
        <v>6035.6677672829992</v>
      </c>
      <c r="K176" s="1114">
        <v>246035.66776728301</v>
      </c>
      <c r="L176" s="4">
        <v>255860</v>
      </c>
    </row>
    <row r="177" spans="2:12" ht="13.5" thickBot="1" x14ac:dyDescent="0.25">
      <c r="B177" s="20"/>
      <c r="C177" s="640" t="s">
        <v>487</v>
      </c>
      <c r="D177" s="642">
        <f t="shared" si="15"/>
        <v>245940</v>
      </c>
      <c r="E177" s="642">
        <v>225000</v>
      </c>
      <c r="F177" s="76">
        <f t="shared" si="17"/>
        <v>5</v>
      </c>
      <c r="G177" s="642">
        <v>226900</v>
      </c>
      <c r="H177" s="14" t="str">
        <f t="shared" si="18"/>
        <v>Não alterar</v>
      </c>
      <c r="I177" s="1114">
        <f t="shared" si="16"/>
        <v>0.97731507434921516</v>
      </c>
      <c r="J177" s="1114">
        <v>5941.3384599800002</v>
      </c>
      <c r="K177" s="1114">
        <v>245941.33845998</v>
      </c>
      <c r="L177" s="4">
        <v>251650</v>
      </c>
    </row>
    <row r="178" spans="2:12" ht="13.5" thickBot="1" x14ac:dyDescent="0.25">
      <c r="B178" s="20"/>
      <c r="C178" s="640" t="s">
        <v>488</v>
      </c>
      <c r="D178" s="642">
        <f t="shared" si="15"/>
        <v>245940</v>
      </c>
      <c r="E178" s="642">
        <v>225000</v>
      </c>
      <c r="F178" s="76">
        <f t="shared" si="17"/>
        <v>5</v>
      </c>
      <c r="G178" s="642">
        <v>231500</v>
      </c>
      <c r="H178" s="14" t="str">
        <f t="shared" si="18"/>
        <v>Não alterar</v>
      </c>
      <c r="I178" s="1114">
        <f t="shared" si="16"/>
        <v>0.95790199984412849</v>
      </c>
      <c r="J178" s="1114">
        <v>5941.3384599800002</v>
      </c>
      <c r="K178" s="1114">
        <v>245941.33845998</v>
      </c>
      <c r="L178" s="4">
        <v>256750</v>
      </c>
    </row>
    <row r="179" spans="2:12" ht="13.5" thickBot="1" x14ac:dyDescent="0.25">
      <c r="B179" s="20"/>
      <c r="C179" s="640" t="s">
        <v>489</v>
      </c>
      <c r="D179" s="642">
        <f t="shared" si="15"/>
        <v>246030</v>
      </c>
      <c r="E179" s="642">
        <v>225000</v>
      </c>
      <c r="F179" s="76">
        <f t="shared" si="17"/>
        <v>5</v>
      </c>
      <c r="G179" s="642">
        <v>235400</v>
      </c>
      <c r="H179" s="14" t="str">
        <f t="shared" si="18"/>
        <v>Não alterar</v>
      </c>
      <c r="I179" s="1114">
        <f t="shared" si="16"/>
        <v>0.94237654269680948</v>
      </c>
      <c r="J179" s="1114">
        <v>6035.6677672829992</v>
      </c>
      <c r="K179" s="1114">
        <v>246035.66776728301</v>
      </c>
      <c r="L179" s="4">
        <v>261080</v>
      </c>
    </row>
    <row r="180" spans="2:12" ht="13.5" thickBot="1" x14ac:dyDescent="0.25">
      <c r="B180" s="20"/>
      <c r="C180" s="640" t="s">
        <v>490</v>
      </c>
      <c r="D180" s="642">
        <f t="shared" si="15"/>
        <v>246030</v>
      </c>
      <c r="E180" s="642">
        <v>225000</v>
      </c>
      <c r="F180" s="76">
        <f t="shared" si="17"/>
        <v>5</v>
      </c>
      <c r="G180" s="642">
        <v>235400</v>
      </c>
      <c r="H180" s="14" t="str">
        <f t="shared" si="18"/>
        <v>Não alterar</v>
      </c>
      <c r="I180" s="1114">
        <f t="shared" si="16"/>
        <v>0.94237654269680948</v>
      </c>
      <c r="J180" s="1114">
        <v>6035.6677672829992</v>
      </c>
      <c r="K180" s="1114">
        <v>246035.66776728301</v>
      </c>
      <c r="L180" s="4">
        <v>261080</v>
      </c>
    </row>
    <row r="181" spans="2:12" ht="13.5" thickBot="1" x14ac:dyDescent="0.25">
      <c r="B181" s="20"/>
      <c r="C181" s="640" t="s">
        <v>491</v>
      </c>
      <c r="D181" s="642">
        <f t="shared" si="15"/>
        <v>245940</v>
      </c>
      <c r="E181" s="642">
        <v>225000</v>
      </c>
      <c r="F181" s="76">
        <f t="shared" si="17"/>
        <v>5</v>
      </c>
      <c r="G181" s="642">
        <v>231500</v>
      </c>
      <c r="H181" s="14" t="str">
        <f t="shared" si="18"/>
        <v>Não alterar</v>
      </c>
      <c r="I181" s="1114">
        <f t="shared" si="16"/>
        <v>0.95790199984412849</v>
      </c>
      <c r="J181" s="1114">
        <v>5941.3384599800002</v>
      </c>
      <c r="K181" s="1114">
        <v>245941.33845998</v>
      </c>
      <c r="L181" s="4">
        <v>256750</v>
      </c>
    </row>
    <row r="182" spans="2:12" ht="13.5" thickBot="1" x14ac:dyDescent="0.25">
      <c r="B182" s="20"/>
      <c r="C182" s="640" t="s">
        <v>492</v>
      </c>
      <c r="D182" s="642">
        <f t="shared" si="15"/>
        <v>245940</v>
      </c>
      <c r="E182" s="642">
        <v>225000</v>
      </c>
      <c r="F182" s="76">
        <f t="shared" si="17"/>
        <v>5</v>
      </c>
      <c r="G182" s="642">
        <v>226900</v>
      </c>
      <c r="H182" s="14" t="str">
        <f t="shared" si="18"/>
        <v>Não alterar</v>
      </c>
      <c r="I182" s="1114">
        <f t="shared" si="16"/>
        <v>0.97731507434921516</v>
      </c>
      <c r="J182" s="1114">
        <v>5941.3384599800002</v>
      </c>
      <c r="K182" s="1114">
        <v>245941.33845998</v>
      </c>
      <c r="L182" s="4">
        <v>251650</v>
      </c>
    </row>
    <row r="183" spans="2:12" ht="13.5" thickBot="1" x14ac:dyDescent="0.25">
      <c r="B183" s="20"/>
      <c r="C183" s="640" t="s">
        <v>493</v>
      </c>
      <c r="D183" s="642">
        <f t="shared" si="15"/>
        <v>246040</v>
      </c>
      <c r="E183" s="642">
        <v>225000</v>
      </c>
      <c r="F183" s="76">
        <f t="shared" si="17"/>
        <v>5</v>
      </c>
      <c r="G183" s="642">
        <v>230700</v>
      </c>
      <c r="H183" s="14" t="str">
        <f t="shared" si="18"/>
        <v>Não alterar</v>
      </c>
      <c r="I183" s="1114">
        <f t="shared" si="16"/>
        <v>0.96160270369453227</v>
      </c>
      <c r="J183" s="1114">
        <v>6035.6677672829992</v>
      </c>
      <c r="K183" s="1114">
        <v>246035.66776728301</v>
      </c>
      <c r="L183" s="4">
        <v>255860</v>
      </c>
    </row>
    <row r="184" spans="2:12" ht="13.5" thickBot="1" x14ac:dyDescent="0.25">
      <c r="B184" s="20"/>
      <c r="C184" s="640" t="s">
        <v>494</v>
      </c>
      <c r="D184" s="642">
        <f t="shared" si="15"/>
        <v>246040</v>
      </c>
      <c r="E184" s="642">
        <v>225000</v>
      </c>
      <c r="F184" s="76">
        <f t="shared" si="17"/>
        <v>5</v>
      </c>
      <c r="G184" s="642">
        <v>230700</v>
      </c>
      <c r="H184" s="14" t="str">
        <f t="shared" si="18"/>
        <v>Não alterar</v>
      </c>
      <c r="I184" s="1114">
        <f t="shared" si="16"/>
        <v>0.96160270369453227</v>
      </c>
      <c r="J184" s="1114">
        <v>6035.6677672829992</v>
      </c>
      <c r="K184" s="1114">
        <v>246035.66776728301</v>
      </c>
      <c r="L184" s="4">
        <v>255860</v>
      </c>
    </row>
    <row r="185" spans="2:12" ht="13.5" thickBot="1" x14ac:dyDescent="0.25">
      <c r="B185" s="20"/>
      <c r="C185" s="640" t="s">
        <v>495</v>
      </c>
      <c r="D185" s="642">
        <f t="shared" si="15"/>
        <v>245940</v>
      </c>
      <c r="E185" s="642">
        <v>225000</v>
      </c>
      <c r="F185" s="76">
        <f t="shared" si="17"/>
        <v>5</v>
      </c>
      <c r="G185" s="642">
        <v>226900</v>
      </c>
      <c r="H185" s="14" t="str">
        <f t="shared" si="18"/>
        <v>Não alterar</v>
      </c>
      <c r="I185" s="1114">
        <f t="shared" si="16"/>
        <v>0.97731507434921516</v>
      </c>
      <c r="J185" s="1114">
        <v>5941.3384599800002</v>
      </c>
      <c r="K185" s="1114">
        <v>245941.33845998</v>
      </c>
      <c r="L185" s="4">
        <v>251650</v>
      </c>
    </row>
    <row r="186" spans="2:12" ht="13.5" thickBot="1" x14ac:dyDescent="0.25">
      <c r="B186" s="20"/>
      <c r="C186" s="640" t="s">
        <v>496</v>
      </c>
      <c r="D186" s="642">
        <f t="shared" si="15"/>
        <v>245940</v>
      </c>
      <c r="E186" s="642">
        <v>225000</v>
      </c>
      <c r="F186" s="76">
        <f t="shared" si="17"/>
        <v>5</v>
      </c>
      <c r="G186" s="642">
        <v>231500</v>
      </c>
      <c r="H186" s="14" t="str">
        <f t="shared" si="18"/>
        <v>Não alterar</v>
      </c>
      <c r="I186" s="1114">
        <f t="shared" si="16"/>
        <v>0.95790199984412849</v>
      </c>
      <c r="J186" s="1114">
        <v>5941.3384599800002</v>
      </c>
      <c r="K186" s="1114">
        <v>245941.33845998</v>
      </c>
      <c r="L186" s="4">
        <v>256750</v>
      </c>
    </row>
    <row r="187" spans="2:12" ht="13.5" thickBot="1" x14ac:dyDescent="0.25">
      <c r="B187" s="20"/>
      <c r="C187" s="640" t="s">
        <v>497</v>
      </c>
      <c r="D187" s="642">
        <f t="shared" si="15"/>
        <v>246030</v>
      </c>
      <c r="E187" s="642">
        <v>225000</v>
      </c>
      <c r="F187" s="76">
        <f t="shared" si="17"/>
        <v>5</v>
      </c>
      <c r="G187" s="642">
        <v>235400</v>
      </c>
      <c r="H187" s="14" t="str">
        <f t="shared" si="18"/>
        <v>Não alterar</v>
      </c>
      <c r="I187" s="1114">
        <f t="shared" si="16"/>
        <v>0.94237654269680948</v>
      </c>
      <c r="J187" s="1114">
        <v>6035.6677672829992</v>
      </c>
      <c r="K187" s="1114">
        <v>246035.66776728301</v>
      </c>
      <c r="L187" s="4">
        <v>261080</v>
      </c>
    </row>
    <row r="188" spans="2:12" ht="13.5" thickBot="1" x14ac:dyDescent="0.25">
      <c r="B188" s="20"/>
      <c r="C188" s="640" t="s">
        <v>498</v>
      </c>
      <c r="D188" s="642">
        <f t="shared" si="15"/>
        <v>246030</v>
      </c>
      <c r="E188" s="642">
        <v>225000</v>
      </c>
      <c r="F188" s="76">
        <f t="shared" si="17"/>
        <v>5</v>
      </c>
      <c r="G188" s="642">
        <v>235400</v>
      </c>
      <c r="H188" s="14" t="str">
        <f t="shared" si="18"/>
        <v>Não alterar</v>
      </c>
      <c r="I188" s="1114">
        <f t="shared" si="16"/>
        <v>0.94237654269680948</v>
      </c>
      <c r="J188" s="1114">
        <v>6035.6677672829992</v>
      </c>
      <c r="K188" s="1114">
        <v>246035.66776728301</v>
      </c>
      <c r="L188" s="4">
        <v>261080</v>
      </c>
    </row>
    <row r="189" spans="2:12" ht="13.5" thickBot="1" x14ac:dyDescent="0.25">
      <c r="B189" s="20"/>
      <c r="C189" s="640" t="s">
        <v>499</v>
      </c>
      <c r="D189" s="642">
        <f t="shared" si="15"/>
        <v>245940</v>
      </c>
      <c r="E189" s="642">
        <v>225000</v>
      </c>
      <c r="F189" s="76">
        <f t="shared" si="17"/>
        <v>5</v>
      </c>
      <c r="G189" s="642">
        <v>231500</v>
      </c>
      <c r="H189" s="14" t="str">
        <f t="shared" si="18"/>
        <v>Não alterar</v>
      </c>
      <c r="I189" s="1114">
        <f t="shared" si="16"/>
        <v>0.95790199984412849</v>
      </c>
      <c r="J189" s="1114">
        <v>5941.3384599800002</v>
      </c>
      <c r="K189" s="1114">
        <v>245941.33845998</v>
      </c>
      <c r="L189" s="4">
        <v>256750</v>
      </c>
    </row>
    <row r="190" spans="2:12" ht="13.5" thickBot="1" x14ac:dyDescent="0.25">
      <c r="B190" s="20"/>
      <c r="C190" s="640" t="s">
        <v>500</v>
      </c>
      <c r="D190" s="642">
        <f t="shared" si="15"/>
        <v>245940</v>
      </c>
      <c r="E190" s="642">
        <v>225000</v>
      </c>
      <c r="F190" s="76">
        <f t="shared" si="17"/>
        <v>5</v>
      </c>
      <c r="G190" s="642">
        <v>226900</v>
      </c>
      <c r="H190" s="14" t="str">
        <f t="shared" si="18"/>
        <v>Não alterar</v>
      </c>
      <c r="I190" s="1114">
        <f t="shared" si="16"/>
        <v>0.97731507434921516</v>
      </c>
      <c r="J190" s="1114">
        <v>5941.3384599800002</v>
      </c>
      <c r="K190" s="1114">
        <v>245941.33845998</v>
      </c>
      <c r="L190" s="4">
        <v>251650</v>
      </c>
    </row>
    <row r="191" spans="2:12" ht="13.5" thickBot="1" x14ac:dyDescent="0.25">
      <c r="B191" s="20"/>
      <c r="C191" s="640" t="s">
        <v>501</v>
      </c>
      <c r="D191" s="642">
        <f t="shared" si="15"/>
        <v>246040</v>
      </c>
      <c r="E191" s="642">
        <v>225000</v>
      </c>
      <c r="F191" s="76">
        <f t="shared" si="17"/>
        <v>5</v>
      </c>
      <c r="G191" s="642">
        <v>230700</v>
      </c>
      <c r="H191" s="14" t="str">
        <f t="shared" si="18"/>
        <v>Não alterar</v>
      </c>
      <c r="I191" s="1114">
        <f t="shared" si="16"/>
        <v>0.96160270369453227</v>
      </c>
      <c r="J191" s="1114">
        <v>6035.6677672829992</v>
      </c>
      <c r="K191" s="1114">
        <v>246035.66776728301</v>
      </c>
      <c r="L191" s="4">
        <v>255860</v>
      </c>
    </row>
    <row r="192" spans="2:12" ht="13.5" thickBot="1" x14ac:dyDescent="0.25">
      <c r="B192" s="20"/>
      <c r="C192" s="640" t="s">
        <v>502</v>
      </c>
      <c r="D192" s="642">
        <f t="shared" si="15"/>
        <v>246040</v>
      </c>
      <c r="E192" s="642">
        <v>225000</v>
      </c>
      <c r="F192" s="76">
        <f t="shared" si="17"/>
        <v>5</v>
      </c>
      <c r="G192" s="642">
        <v>230700</v>
      </c>
      <c r="H192" s="14" t="str">
        <f t="shared" si="18"/>
        <v>Não alterar</v>
      </c>
      <c r="I192" s="1114">
        <f t="shared" si="16"/>
        <v>0.96160270369453227</v>
      </c>
      <c r="J192" s="1114">
        <v>6035.6677672829992</v>
      </c>
      <c r="K192" s="1114">
        <v>246035.66776728301</v>
      </c>
      <c r="L192" s="4">
        <v>255860</v>
      </c>
    </row>
    <row r="193" spans="2:12" ht="13.5" thickBot="1" x14ac:dyDescent="0.25">
      <c r="B193" s="20"/>
      <c r="C193" s="640" t="s">
        <v>503</v>
      </c>
      <c r="D193" s="642">
        <f t="shared" si="15"/>
        <v>245940</v>
      </c>
      <c r="E193" s="642">
        <v>225000</v>
      </c>
      <c r="F193" s="76">
        <f t="shared" si="17"/>
        <v>5</v>
      </c>
      <c r="G193" s="642">
        <v>226900</v>
      </c>
      <c r="H193" s="14" t="str">
        <f t="shared" si="18"/>
        <v>Não alterar</v>
      </c>
      <c r="I193" s="1114">
        <f t="shared" si="16"/>
        <v>0.97731507434921516</v>
      </c>
      <c r="J193" s="1114">
        <v>5941.3384599800002</v>
      </c>
      <c r="K193" s="1114">
        <v>245941.33845998</v>
      </c>
      <c r="L193" s="4">
        <v>251650</v>
      </c>
    </row>
    <row r="194" spans="2:12" ht="13.5" thickBot="1" x14ac:dyDescent="0.25">
      <c r="B194" s="20"/>
      <c r="C194" s="640" t="s">
        <v>504</v>
      </c>
      <c r="D194" s="642">
        <f t="shared" si="15"/>
        <v>245940</v>
      </c>
      <c r="E194" s="642">
        <v>225000</v>
      </c>
      <c r="F194" s="76">
        <f t="shared" si="17"/>
        <v>5</v>
      </c>
      <c r="G194" s="642">
        <v>231500</v>
      </c>
      <c r="H194" s="14" t="str">
        <f t="shared" si="18"/>
        <v>Não alterar</v>
      </c>
      <c r="I194" s="1114">
        <f t="shared" si="16"/>
        <v>0.95790199984412849</v>
      </c>
      <c r="J194" s="1114">
        <v>5941.3384599800002</v>
      </c>
      <c r="K194" s="1114">
        <v>245941.33845998</v>
      </c>
      <c r="L194" s="4">
        <v>256750</v>
      </c>
    </row>
    <row r="195" spans="2:12" ht="13.5" thickBot="1" x14ac:dyDescent="0.25">
      <c r="B195" s="20"/>
      <c r="C195" s="640" t="s">
        <v>505</v>
      </c>
      <c r="D195" s="642">
        <f t="shared" si="15"/>
        <v>246030</v>
      </c>
      <c r="E195" s="642">
        <v>225000</v>
      </c>
      <c r="F195" s="76">
        <f t="shared" si="17"/>
        <v>5</v>
      </c>
      <c r="G195" s="642">
        <v>235400</v>
      </c>
      <c r="H195" s="14" t="str">
        <f t="shared" si="18"/>
        <v>Não alterar</v>
      </c>
      <c r="I195" s="1114">
        <f t="shared" si="16"/>
        <v>0.94237654269680948</v>
      </c>
      <c r="J195" s="1114">
        <v>6035.6677672829992</v>
      </c>
      <c r="K195" s="1114">
        <v>246035.66776728301</v>
      </c>
      <c r="L195" s="4">
        <v>261080</v>
      </c>
    </row>
    <row r="196" spans="2:12" ht="13.5" thickBot="1" x14ac:dyDescent="0.25">
      <c r="B196" s="20"/>
      <c r="C196" s="640" t="s">
        <v>506</v>
      </c>
      <c r="D196" s="642">
        <f t="shared" si="15"/>
        <v>246040</v>
      </c>
      <c r="E196" s="642">
        <v>225000</v>
      </c>
      <c r="F196" s="76">
        <f t="shared" si="17"/>
        <v>5</v>
      </c>
      <c r="G196" s="642">
        <f>237800-710</f>
        <v>237090</v>
      </c>
      <c r="H196" s="14" t="str">
        <f t="shared" si="18"/>
        <v>Não alterar</v>
      </c>
      <c r="I196" s="1114">
        <f t="shared" si="16"/>
        <v>0.93567472054490597</v>
      </c>
      <c r="J196" s="1114">
        <v>6035.6677672829992</v>
      </c>
      <c r="K196" s="1114">
        <v>246035.66776728301</v>
      </c>
      <c r="L196" s="4">
        <v>262950</v>
      </c>
    </row>
    <row r="197" spans="2:12" ht="13.5" thickBot="1" x14ac:dyDescent="0.25">
      <c r="B197" s="20"/>
      <c r="C197" s="640" t="s">
        <v>507</v>
      </c>
      <c r="D197" s="642">
        <f t="shared" si="15"/>
        <v>245940</v>
      </c>
      <c r="E197" s="642">
        <v>225000</v>
      </c>
      <c r="F197" s="76">
        <f t="shared" si="17"/>
        <v>5</v>
      </c>
      <c r="G197" s="642">
        <v>233800</v>
      </c>
      <c r="H197" s="14" t="str">
        <f t="shared" si="18"/>
        <v>Não alterar</v>
      </c>
      <c r="I197" s="1114">
        <f t="shared" si="16"/>
        <v>0.94848182977238726</v>
      </c>
      <c r="J197" s="1114">
        <v>5941.3384599800002</v>
      </c>
      <c r="K197" s="1114">
        <v>245941.33845998</v>
      </c>
      <c r="L197" s="4">
        <v>259300</v>
      </c>
    </row>
    <row r="198" spans="2:12" ht="13.5" thickBot="1" x14ac:dyDescent="0.25">
      <c r="B198" s="20"/>
      <c r="C198" s="640" t="s">
        <v>508</v>
      </c>
      <c r="D198" s="642">
        <f t="shared" si="15"/>
        <v>245940</v>
      </c>
      <c r="E198" s="642">
        <v>225000</v>
      </c>
      <c r="F198" s="76">
        <f t="shared" si="17"/>
        <v>5</v>
      </c>
      <c r="G198" s="642">
        <v>229200</v>
      </c>
      <c r="H198" s="14" t="str">
        <f t="shared" si="18"/>
        <v>Não alterar</v>
      </c>
      <c r="I198" s="1114">
        <f t="shared" si="16"/>
        <v>0.96751116624697087</v>
      </c>
      <c r="J198" s="1114">
        <v>5941.3384599800002</v>
      </c>
      <c r="K198" s="1114">
        <v>245941.33845998</v>
      </c>
      <c r="L198" s="4">
        <v>254200</v>
      </c>
    </row>
    <row r="199" spans="2:12" ht="13.5" thickBot="1" x14ac:dyDescent="0.25">
      <c r="B199" s="20"/>
      <c r="C199" s="640" t="s">
        <v>509</v>
      </c>
      <c r="D199" s="642">
        <f t="shared" si="15"/>
        <v>246040</v>
      </c>
      <c r="E199" s="642">
        <v>225000</v>
      </c>
      <c r="F199" s="76">
        <f t="shared" si="17"/>
        <v>5</v>
      </c>
      <c r="G199" s="642">
        <v>233000</v>
      </c>
      <c r="H199" s="14" t="str">
        <f t="shared" si="18"/>
        <v>Não alterar</v>
      </c>
      <c r="I199" s="1114">
        <f t="shared" si="16"/>
        <v>0.95211357055564028</v>
      </c>
      <c r="J199" s="1114">
        <v>6035.6677672829992</v>
      </c>
      <c r="K199" s="1114">
        <v>246035.66776728301</v>
      </c>
      <c r="L199" s="4">
        <v>258410</v>
      </c>
    </row>
    <row r="200" spans="2:12" ht="13.5" thickBot="1" x14ac:dyDescent="0.25">
      <c r="B200" s="20"/>
      <c r="C200" s="640" t="s">
        <v>510</v>
      </c>
      <c r="D200" s="642">
        <f t="shared" si="15"/>
        <v>246040</v>
      </c>
      <c r="E200" s="642">
        <v>225000</v>
      </c>
      <c r="F200" s="76">
        <f t="shared" si="17"/>
        <v>5</v>
      </c>
      <c r="G200" s="642">
        <v>233000</v>
      </c>
      <c r="H200" s="14" t="str">
        <f t="shared" si="18"/>
        <v>Não alterar</v>
      </c>
      <c r="I200" s="1114">
        <f t="shared" si="16"/>
        <v>0.95211357055564028</v>
      </c>
      <c r="J200" s="1114">
        <v>6035.6677672829992</v>
      </c>
      <c r="K200" s="1114">
        <v>246035.66776728301</v>
      </c>
      <c r="L200" s="4">
        <v>258410</v>
      </c>
    </row>
    <row r="201" spans="2:12" ht="13.5" thickBot="1" x14ac:dyDescent="0.25">
      <c r="B201" s="20"/>
      <c r="C201" s="640" t="s">
        <v>511</v>
      </c>
      <c r="D201" s="642">
        <f t="shared" si="15"/>
        <v>245940</v>
      </c>
      <c r="E201" s="642">
        <v>225000</v>
      </c>
      <c r="F201" s="76">
        <f t="shared" si="17"/>
        <v>5</v>
      </c>
      <c r="G201" s="642">
        <v>229200</v>
      </c>
      <c r="H201" s="14" t="str">
        <f t="shared" si="18"/>
        <v>Não alterar</v>
      </c>
      <c r="I201" s="1114">
        <f t="shared" si="16"/>
        <v>0.96751116624697087</v>
      </c>
      <c r="J201" s="1114">
        <v>5941.3384599800002</v>
      </c>
      <c r="K201" s="1114">
        <v>245941.33845998</v>
      </c>
      <c r="L201" s="4">
        <v>254200</v>
      </c>
    </row>
    <row r="202" spans="2:12" ht="13.5" thickBot="1" x14ac:dyDescent="0.25">
      <c r="B202" s="20"/>
      <c r="C202" s="640" t="s">
        <v>512</v>
      </c>
      <c r="D202" s="642">
        <f t="shared" ref="D202:D243" si="19">ROUND((G202*$J$1)*I202,-1)</f>
        <v>245940</v>
      </c>
      <c r="E202" s="642">
        <v>225000</v>
      </c>
      <c r="F202" s="76">
        <f t="shared" si="17"/>
        <v>5</v>
      </c>
      <c r="G202" s="642">
        <v>233800</v>
      </c>
      <c r="H202" s="14" t="str">
        <f t="shared" si="18"/>
        <v>Não alterar</v>
      </c>
      <c r="I202" s="1114">
        <f t="shared" ref="I202:I243" si="20">K202/L202</f>
        <v>0.94848182977238726</v>
      </c>
      <c r="J202" s="1114">
        <v>5941.3384599800002</v>
      </c>
      <c r="K202" s="1114">
        <v>245941.33845998</v>
      </c>
      <c r="L202" s="4">
        <v>259300</v>
      </c>
    </row>
    <row r="203" spans="2:12" ht="13.5" thickBot="1" x14ac:dyDescent="0.25">
      <c r="B203" s="20"/>
      <c r="C203" s="640" t="s">
        <v>514</v>
      </c>
      <c r="D203" s="642">
        <f t="shared" si="19"/>
        <v>246040</v>
      </c>
      <c r="E203" s="642">
        <v>225000</v>
      </c>
      <c r="F203" s="76">
        <f t="shared" ref="F203:F243" si="21">F202</f>
        <v>5</v>
      </c>
      <c r="G203" s="642">
        <f t="shared" ref="G203:G204" si="22">237800-710</f>
        <v>237090</v>
      </c>
      <c r="H203" s="14" t="str">
        <f t="shared" si="18"/>
        <v>Não alterar</v>
      </c>
      <c r="I203" s="1114">
        <f t="shared" si="20"/>
        <v>0.93567472054490597</v>
      </c>
      <c r="J203" s="1114">
        <v>6035.6677672829992</v>
      </c>
      <c r="K203" s="1114">
        <v>246035.66776728301</v>
      </c>
      <c r="L203" s="4">
        <v>262950</v>
      </c>
    </row>
    <row r="204" spans="2:12" ht="13.5" thickBot="1" x14ac:dyDescent="0.25">
      <c r="B204" s="20"/>
      <c r="C204" s="640" t="s">
        <v>515</v>
      </c>
      <c r="D204" s="642">
        <f t="shared" si="19"/>
        <v>246040</v>
      </c>
      <c r="E204" s="642">
        <v>225000</v>
      </c>
      <c r="F204" s="76">
        <f t="shared" si="21"/>
        <v>5</v>
      </c>
      <c r="G204" s="642">
        <f t="shared" si="22"/>
        <v>237090</v>
      </c>
      <c r="H204" s="14" t="str">
        <f t="shared" si="18"/>
        <v>Não alterar</v>
      </c>
      <c r="I204" s="1114">
        <f t="shared" si="20"/>
        <v>0.93567472054490597</v>
      </c>
      <c r="J204" s="1114">
        <v>6035.6677672829992</v>
      </c>
      <c r="K204" s="1114">
        <v>246035.66776728301</v>
      </c>
      <c r="L204" s="4">
        <v>262950</v>
      </c>
    </row>
    <row r="205" spans="2:12" ht="13.5" thickBot="1" x14ac:dyDescent="0.25">
      <c r="B205" s="20"/>
      <c r="C205" s="640" t="s">
        <v>516</v>
      </c>
      <c r="D205" s="642">
        <f t="shared" si="19"/>
        <v>245940</v>
      </c>
      <c r="E205" s="642">
        <v>225000</v>
      </c>
      <c r="F205" s="76">
        <f t="shared" si="21"/>
        <v>5</v>
      </c>
      <c r="G205" s="642">
        <v>233800</v>
      </c>
      <c r="H205" s="14" t="str">
        <f t="shared" si="18"/>
        <v>Não alterar</v>
      </c>
      <c r="I205" s="1114">
        <f t="shared" si="20"/>
        <v>0.94848182977238726</v>
      </c>
      <c r="J205" s="1114">
        <v>5941.3384599800002</v>
      </c>
      <c r="K205" s="1114">
        <v>245941.33845998</v>
      </c>
      <c r="L205" s="4">
        <v>259300</v>
      </c>
    </row>
    <row r="206" spans="2:12" ht="13.5" thickBot="1" x14ac:dyDescent="0.25">
      <c r="B206" s="20"/>
      <c r="C206" s="640" t="s">
        <v>517</v>
      </c>
      <c r="D206" s="642">
        <f t="shared" si="19"/>
        <v>245940</v>
      </c>
      <c r="E206" s="642">
        <v>225000</v>
      </c>
      <c r="F206" s="76">
        <f t="shared" si="21"/>
        <v>5</v>
      </c>
      <c r="G206" s="642">
        <v>229200</v>
      </c>
      <c r="H206" s="14" t="str">
        <f t="shared" si="18"/>
        <v>Não alterar</v>
      </c>
      <c r="I206" s="1114">
        <f t="shared" si="20"/>
        <v>0.96751116624697087</v>
      </c>
      <c r="J206" s="1114">
        <v>5941.3384599800002</v>
      </c>
      <c r="K206" s="1114">
        <v>245941.33845998</v>
      </c>
      <c r="L206" s="4">
        <v>254200</v>
      </c>
    </row>
    <row r="207" spans="2:12" ht="13.5" thickBot="1" x14ac:dyDescent="0.25">
      <c r="B207" s="20"/>
      <c r="C207" s="640" t="s">
        <v>518</v>
      </c>
      <c r="D207" s="642">
        <f t="shared" si="19"/>
        <v>246040</v>
      </c>
      <c r="E207" s="642">
        <v>225000</v>
      </c>
      <c r="F207" s="76">
        <f t="shared" si="21"/>
        <v>5</v>
      </c>
      <c r="G207" s="642">
        <v>233000</v>
      </c>
      <c r="H207" s="14" t="str">
        <f t="shared" si="18"/>
        <v>Não alterar</v>
      </c>
      <c r="I207" s="1114">
        <f t="shared" si="20"/>
        <v>0.95211357055564028</v>
      </c>
      <c r="J207" s="1114">
        <v>6035.6677672829992</v>
      </c>
      <c r="K207" s="1114">
        <v>246035.66776728301</v>
      </c>
      <c r="L207" s="4">
        <v>258410</v>
      </c>
    </row>
    <row r="208" spans="2:12" ht="13.5" thickBot="1" x14ac:dyDescent="0.25">
      <c r="B208" s="20"/>
      <c r="C208" s="640" t="s">
        <v>519</v>
      </c>
      <c r="D208" s="642">
        <f t="shared" si="19"/>
        <v>246040</v>
      </c>
      <c r="E208" s="642">
        <v>225000</v>
      </c>
      <c r="F208" s="76">
        <f t="shared" si="21"/>
        <v>5</v>
      </c>
      <c r="G208" s="642">
        <v>233000</v>
      </c>
      <c r="H208" s="14" t="str">
        <f t="shared" si="18"/>
        <v>Não alterar</v>
      </c>
      <c r="I208" s="1114">
        <f t="shared" si="20"/>
        <v>0.95211357055564028</v>
      </c>
      <c r="J208" s="1114">
        <v>6035.6677672829992</v>
      </c>
      <c r="K208" s="1114">
        <v>246035.66776728301</v>
      </c>
      <c r="L208" s="4">
        <v>258410</v>
      </c>
    </row>
    <row r="209" spans="2:12" ht="13.5" thickBot="1" x14ac:dyDescent="0.25">
      <c r="B209" s="20"/>
      <c r="C209" s="640" t="s">
        <v>520</v>
      </c>
      <c r="D209" s="642">
        <f t="shared" si="19"/>
        <v>245940</v>
      </c>
      <c r="E209" s="642">
        <v>225000</v>
      </c>
      <c r="F209" s="76">
        <f t="shared" si="21"/>
        <v>5</v>
      </c>
      <c r="G209" s="642">
        <v>229200</v>
      </c>
      <c r="H209" s="14" t="str">
        <f t="shared" si="18"/>
        <v>Não alterar</v>
      </c>
      <c r="I209" s="1114">
        <f t="shared" si="20"/>
        <v>0.96751116624697087</v>
      </c>
      <c r="J209" s="1114">
        <v>5941.3384599800002</v>
      </c>
      <c r="K209" s="1114">
        <v>245941.33845998</v>
      </c>
      <c r="L209" s="4">
        <v>254200</v>
      </c>
    </row>
    <row r="210" spans="2:12" ht="13.5" thickBot="1" x14ac:dyDescent="0.25">
      <c r="B210" s="20"/>
      <c r="C210" s="640" t="s">
        <v>521</v>
      </c>
      <c r="D210" s="642">
        <f t="shared" si="19"/>
        <v>245940</v>
      </c>
      <c r="E210" s="642">
        <v>225000</v>
      </c>
      <c r="F210" s="76">
        <f t="shared" si="21"/>
        <v>5</v>
      </c>
      <c r="G210" s="642">
        <v>233800</v>
      </c>
      <c r="H210" s="14" t="str">
        <f t="shared" si="18"/>
        <v>Não alterar</v>
      </c>
      <c r="I210" s="1114">
        <f t="shared" si="20"/>
        <v>0.94848182977238726</v>
      </c>
      <c r="J210" s="1114">
        <v>5941.3384599800002</v>
      </c>
      <c r="K210" s="1114">
        <v>245941.33845998</v>
      </c>
      <c r="L210" s="4">
        <v>259300</v>
      </c>
    </row>
    <row r="211" spans="2:12" ht="13.5" thickBot="1" x14ac:dyDescent="0.25">
      <c r="B211" s="20"/>
      <c r="C211" s="640" t="s">
        <v>522</v>
      </c>
      <c r="D211" s="642">
        <f t="shared" si="19"/>
        <v>246040</v>
      </c>
      <c r="E211" s="642">
        <v>225000</v>
      </c>
      <c r="F211" s="76">
        <f t="shared" si="21"/>
        <v>5</v>
      </c>
      <c r="G211" s="642">
        <f t="shared" ref="G211:G212" si="23">237800-710</f>
        <v>237090</v>
      </c>
      <c r="H211" s="14" t="str">
        <f t="shared" si="18"/>
        <v>Não alterar</v>
      </c>
      <c r="I211" s="1114">
        <f t="shared" si="20"/>
        <v>0.93567472054490597</v>
      </c>
      <c r="J211" s="1114">
        <v>6035.6677672829992</v>
      </c>
      <c r="K211" s="1114">
        <v>246035.66776728301</v>
      </c>
      <c r="L211" s="4">
        <v>262950</v>
      </c>
    </row>
    <row r="212" spans="2:12" ht="13.5" thickBot="1" x14ac:dyDescent="0.25">
      <c r="B212" s="20"/>
      <c r="C212" s="640" t="s">
        <v>523</v>
      </c>
      <c r="D212" s="642">
        <f t="shared" si="19"/>
        <v>246040</v>
      </c>
      <c r="E212" s="642">
        <v>237400</v>
      </c>
      <c r="F212" s="76">
        <f t="shared" si="21"/>
        <v>5</v>
      </c>
      <c r="G212" s="642">
        <f t="shared" si="23"/>
        <v>237090</v>
      </c>
      <c r="H212" s="14" t="str">
        <f t="shared" si="18"/>
        <v>Não alterar</v>
      </c>
      <c r="I212" s="1114">
        <f t="shared" si="20"/>
        <v>0.93567472054490597</v>
      </c>
      <c r="J212" s="1114">
        <v>6035.6677672829992</v>
      </c>
      <c r="K212" s="1114">
        <v>246035.66776728301</v>
      </c>
      <c r="L212" s="4">
        <v>262950</v>
      </c>
    </row>
    <row r="213" spans="2:12" ht="13.5" thickBot="1" x14ac:dyDescent="0.25">
      <c r="B213" s="20"/>
      <c r="C213" s="640" t="s">
        <v>524</v>
      </c>
      <c r="D213" s="642">
        <f t="shared" si="19"/>
        <v>245940</v>
      </c>
      <c r="E213" s="642">
        <v>236000</v>
      </c>
      <c r="F213" s="76">
        <f t="shared" si="21"/>
        <v>5</v>
      </c>
      <c r="G213" s="642">
        <v>233800</v>
      </c>
      <c r="H213" s="14" t="str">
        <f t="shared" si="18"/>
        <v>Não alterar</v>
      </c>
      <c r="I213" s="1114">
        <f t="shared" si="20"/>
        <v>0.94848182977238726</v>
      </c>
      <c r="J213" s="1114">
        <v>5941.3384599800002</v>
      </c>
      <c r="K213" s="1114">
        <v>245941.33845998</v>
      </c>
      <c r="L213" s="4">
        <v>259300</v>
      </c>
    </row>
    <row r="214" spans="2:12" ht="13.5" thickBot="1" x14ac:dyDescent="0.25">
      <c r="B214" s="20"/>
      <c r="C214" s="640" t="s">
        <v>525</v>
      </c>
      <c r="D214" s="642">
        <f t="shared" si="19"/>
        <v>245940</v>
      </c>
      <c r="E214" s="642">
        <v>236000</v>
      </c>
      <c r="F214" s="76">
        <f t="shared" si="21"/>
        <v>5</v>
      </c>
      <c r="G214" s="642">
        <v>229200</v>
      </c>
      <c r="H214" s="14" t="str">
        <f t="shared" si="18"/>
        <v>Não alterar</v>
      </c>
      <c r="I214" s="1114">
        <f t="shared" si="20"/>
        <v>0.96751116624697087</v>
      </c>
      <c r="J214" s="1114">
        <v>5941.3384599800002</v>
      </c>
      <c r="K214" s="1114">
        <v>245941.33845998</v>
      </c>
      <c r="L214" s="4">
        <v>254200</v>
      </c>
    </row>
    <row r="215" spans="2:12" ht="13.5" thickBot="1" x14ac:dyDescent="0.25">
      <c r="B215" s="20"/>
      <c r="C215" s="640" t="s">
        <v>526</v>
      </c>
      <c r="D215" s="642">
        <f t="shared" si="19"/>
        <v>246040</v>
      </c>
      <c r="E215" s="642">
        <v>237400</v>
      </c>
      <c r="F215" s="76">
        <f t="shared" si="21"/>
        <v>5</v>
      </c>
      <c r="G215" s="642">
        <v>233000</v>
      </c>
      <c r="H215" s="14" t="str">
        <f t="shared" si="18"/>
        <v>Não alterar</v>
      </c>
      <c r="I215" s="1114">
        <f t="shared" si="20"/>
        <v>0.95211357055564028</v>
      </c>
      <c r="J215" s="1114">
        <v>6035.6677672829992</v>
      </c>
      <c r="K215" s="1114">
        <v>246035.66776728301</v>
      </c>
      <c r="L215" s="4">
        <v>258410</v>
      </c>
    </row>
    <row r="216" spans="2:12" ht="13.5" thickBot="1" x14ac:dyDescent="0.25">
      <c r="B216" s="20"/>
      <c r="C216" s="640" t="s">
        <v>527</v>
      </c>
      <c r="D216" s="642">
        <f t="shared" si="19"/>
        <v>246040</v>
      </c>
      <c r="E216" s="642">
        <v>237400</v>
      </c>
      <c r="F216" s="76">
        <f t="shared" si="21"/>
        <v>5</v>
      </c>
      <c r="G216" s="642">
        <v>233000</v>
      </c>
      <c r="H216" s="14" t="str">
        <f t="shared" si="18"/>
        <v>Não alterar</v>
      </c>
      <c r="I216" s="1114">
        <f t="shared" si="20"/>
        <v>0.95211357055564028</v>
      </c>
      <c r="J216" s="1114">
        <v>6035.6677672829992</v>
      </c>
      <c r="K216" s="1114">
        <v>246035.66776728301</v>
      </c>
      <c r="L216" s="4">
        <v>258410</v>
      </c>
    </row>
    <row r="217" spans="2:12" ht="13.5" thickBot="1" x14ac:dyDescent="0.25">
      <c r="B217" s="20"/>
      <c r="C217" s="640" t="s">
        <v>528</v>
      </c>
      <c r="D217" s="642">
        <f t="shared" si="19"/>
        <v>245940</v>
      </c>
      <c r="E217" s="642">
        <v>237400</v>
      </c>
      <c r="F217" s="76">
        <f t="shared" si="21"/>
        <v>5</v>
      </c>
      <c r="G217" s="642">
        <v>229200</v>
      </c>
      <c r="H217" s="14" t="str">
        <f t="shared" si="18"/>
        <v>Não alterar</v>
      </c>
      <c r="I217" s="1114">
        <f t="shared" si="20"/>
        <v>0.96751116624697087</v>
      </c>
      <c r="J217" s="1114">
        <v>5941.3384599800002</v>
      </c>
      <c r="K217" s="1114">
        <v>245941.33845998</v>
      </c>
      <c r="L217" s="4">
        <v>254200</v>
      </c>
    </row>
    <row r="218" spans="2:12" ht="13.5" thickBot="1" x14ac:dyDescent="0.25">
      <c r="B218" s="20"/>
      <c r="C218" s="640" t="s">
        <v>529</v>
      </c>
      <c r="D218" s="642">
        <f t="shared" si="19"/>
        <v>245940</v>
      </c>
      <c r="E218" s="642">
        <v>237400</v>
      </c>
      <c r="F218" s="76">
        <f t="shared" si="21"/>
        <v>5</v>
      </c>
      <c r="G218" s="642">
        <v>233800</v>
      </c>
      <c r="H218" s="14" t="str">
        <f t="shared" si="18"/>
        <v>Não alterar</v>
      </c>
      <c r="I218" s="1114">
        <f t="shared" si="20"/>
        <v>0.94848182977238726</v>
      </c>
      <c r="J218" s="1114">
        <v>5941.3384599800002</v>
      </c>
      <c r="K218" s="1114">
        <v>245941.33845998</v>
      </c>
      <c r="L218" s="4">
        <v>259300</v>
      </c>
    </row>
    <row r="219" spans="2:12" ht="13.5" thickBot="1" x14ac:dyDescent="0.25">
      <c r="B219" s="20"/>
      <c r="C219" s="640" t="s">
        <v>530</v>
      </c>
      <c r="D219" s="642">
        <f t="shared" si="19"/>
        <v>246040</v>
      </c>
      <c r="E219" s="642">
        <v>237400</v>
      </c>
      <c r="F219" s="76">
        <f t="shared" si="21"/>
        <v>5</v>
      </c>
      <c r="G219" s="642">
        <f t="shared" ref="G219:G220" si="24">237800-710</f>
        <v>237090</v>
      </c>
      <c r="H219" s="14" t="str">
        <f t="shared" si="18"/>
        <v>Não alterar</v>
      </c>
      <c r="I219" s="1114">
        <f t="shared" si="20"/>
        <v>0.93567472054490597</v>
      </c>
      <c r="J219" s="1114">
        <v>6035.6677672829992</v>
      </c>
      <c r="K219" s="1114">
        <v>246035.66776728301</v>
      </c>
      <c r="L219" s="4">
        <v>262950</v>
      </c>
    </row>
    <row r="220" spans="2:12" ht="13.5" thickBot="1" x14ac:dyDescent="0.25">
      <c r="B220" s="20"/>
      <c r="C220" s="640" t="s">
        <v>531</v>
      </c>
      <c r="D220" s="642">
        <f t="shared" si="19"/>
        <v>246040</v>
      </c>
      <c r="E220" s="642">
        <v>237400</v>
      </c>
      <c r="F220" s="76">
        <f t="shared" si="21"/>
        <v>5</v>
      </c>
      <c r="G220" s="642">
        <f t="shared" si="24"/>
        <v>237090</v>
      </c>
      <c r="H220" s="14" t="str">
        <f t="shared" si="18"/>
        <v>Não alterar</v>
      </c>
      <c r="I220" s="1114">
        <f t="shared" si="20"/>
        <v>0.93567472054490597</v>
      </c>
      <c r="J220" s="1114">
        <v>6035.6677672829992</v>
      </c>
      <c r="K220" s="1114">
        <v>246035.66776728301</v>
      </c>
      <c r="L220" s="4">
        <v>262950</v>
      </c>
    </row>
    <row r="221" spans="2:12" ht="13.5" thickBot="1" x14ac:dyDescent="0.25">
      <c r="B221" s="20"/>
      <c r="C221" s="640" t="s">
        <v>532</v>
      </c>
      <c r="D221" s="642">
        <f t="shared" si="19"/>
        <v>245940</v>
      </c>
      <c r="E221" s="642">
        <v>236000</v>
      </c>
      <c r="F221" s="76">
        <f t="shared" si="21"/>
        <v>5</v>
      </c>
      <c r="G221" s="642">
        <v>233800</v>
      </c>
      <c r="H221" s="14" t="str">
        <f t="shared" ref="H221:H243" si="25">IF(D221&gt;=$J$8,$J$7,"Não alterar")</f>
        <v>Não alterar</v>
      </c>
      <c r="I221" s="1114">
        <f t="shared" si="20"/>
        <v>0.94848182977238726</v>
      </c>
      <c r="J221" s="1114">
        <v>5941.3384599800002</v>
      </c>
      <c r="K221" s="1114">
        <v>245941.33845998</v>
      </c>
      <c r="L221" s="4">
        <v>259300</v>
      </c>
    </row>
    <row r="222" spans="2:12" ht="13.5" thickBot="1" x14ac:dyDescent="0.25">
      <c r="B222" s="20"/>
      <c r="C222" s="640" t="s">
        <v>533</v>
      </c>
      <c r="D222" s="642">
        <f t="shared" si="19"/>
        <v>245940</v>
      </c>
      <c r="E222" s="642">
        <v>236000</v>
      </c>
      <c r="F222" s="76">
        <f t="shared" si="21"/>
        <v>5</v>
      </c>
      <c r="G222" s="642">
        <v>229200</v>
      </c>
      <c r="H222" s="14" t="str">
        <f t="shared" si="25"/>
        <v>Não alterar</v>
      </c>
      <c r="I222" s="1114">
        <f t="shared" si="20"/>
        <v>0.96751116624697087</v>
      </c>
      <c r="J222" s="1114">
        <v>5941.3384599800002</v>
      </c>
      <c r="K222" s="1114">
        <v>245941.33845998</v>
      </c>
      <c r="L222" s="4">
        <v>254200</v>
      </c>
    </row>
    <row r="223" spans="2:12" ht="13.5" thickBot="1" x14ac:dyDescent="0.25">
      <c r="B223" s="20"/>
      <c r="C223" s="640" t="s">
        <v>534</v>
      </c>
      <c r="D223" s="642">
        <f t="shared" si="19"/>
        <v>246040</v>
      </c>
      <c r="E223" s="642">
        <v>237400</v>
      </c>
      <c r="F223" s="76">
        <f t="shared" si="21"/>
        <v>5</v>
      </c>
      <c r="G223" s="642">
        <v>233000</v>
      </c>
      <c r="H223" s="14" t="str">
        <f t="shared" si="25"/>
        <v>Não alterar</v>
      </c>
      <c r="I223" s="1114">
        <f t="shared" si="20"/>
        <v>0.95211357055564028</v>
      </c>
      <c r="J223" s="1114">
        <v>6035.6677672829992</v>
      </c>
      <c r="K223" s="1114">
        <v>246035.66776728301</v>
      </c>
      <c r="L223" s="4">
        <v>258410</v>
      </c>
    </row>
    <row r="224" spans="2:12" ht="13.5" thickBot="1" x14ac:dyDescent="0.25">
      <c r="B224" s="20"/>
      <c r="C224" s="640" t="s">
        <v>535</v>
      </c>
      <c r="D224" s="642">
        <f t="shared" si="19"/>
        <v>246040</v>
      </c>
      <c r="E224" s="642">
        <v>237400</v>
      </c>
      <c r="F224" s="76">
        <f t="shared" si="21"/>
        <v>5</v>
      </c>
      <c r="G224" s="642">
        <v>233000</v>
      </c>
      <c r="H224" s="14" t="str">
        <f t="shared" si="25"/>
        <v>Não alterar</v>
      </c>
      <c r="I224" s="1114">
        <f t="shared" si="20"/>
        <v>0.95211357055564028</v>
      </c>
      <c r="J224" s="1114">
        <v>6035.6677672829992</v>
      </c>
      <c r="K224" s="1114">
        <v>246035.66776728301</v>
      </c>
      <c r="L224" s="4">
        <v>258410</v>
      </c>
    </row>
    <row r="225" spans="2:12" ht="13.5" thickBot="1" x14ac:dyDescent="0.25">
      <c r="B225" s="20"/>
      <c r="C225" s="640" t="s">
        <v>536</v>
      </c>
      <c r="D225" s="642">
        <f t="shared" si="19"/>
        <v>245940</v>
      </c>
      <c r="E225" s="642">
        <v>237400</v>
      </c>
      <c r="F225" s="76">
        <f t="shared" si="21"/>
        <v>5</v>
      </c>
      <c r="G225" s="642">
        <v>229200</v>
      </c>
      <c r="H225" s="14" t="str">
        <f t="shared" si="25"/>
        <v>Não alterar</v>
      </c>
      <c r="I225" s="1114">
        <f t="shared" si="20"/>
        <v>0.96751116624697087</v>
      </c>
      <c r="J225" s="1114">
        <v>5941.3384599800002</v>
      </c>
      <c r="K225" s="1114">
        <v>245941.33845998</v>
      </c>
      <c r="L225" s="4">
        <v>254200</v>
      </c>
    </row>
    <row r="226" spans="2:12" ht="13.5" thickBot="1" x14ac:dyDescent="0.25">
      <c r="B226" s="20"/>
      <c r="C226" s="640" t="s">
        <v>537</v>
      </c>
      <c r="D226" s="642">
        <f t="shared" si="19"/>
        <v>245940</v>
      </c>
      <c r="E226" s="642">
        <v>237400</v>
      </c>
      <c r="F226" s="76">
        <f t="shared" si="21"/>
        <v>5</v>
      </c>
      <c r="G226" s="642">
        <v>233800</v>
      </c>
      <c r="H226" s="14" t="str">
        <f t="shared" si="25"/>
        <v>Não alterar</v>
      </c>
      <c r="I226" s="1114">
        <f t="shared" si="20"/>
        <v>0.94848182977238726</v>
      </c>
      <c r="J226" s="1114">
        <v>5941.3384599800002</v>
      </c>
      <c r="K226" s="1114">
        <v>245941.33845998</v>
      </c>
      <c r="L226" s="4">
        <v>259300</v>
      </c>
    </row>
    <row r="227" spans="2:12" ht="13.5" thickBot="1" x14ac:dyDescent="0.25">
      <c r="B227" s="20"/>
      <c r="C227" s="640" t="s">
        <v>538</v>
      </c>
      <c r="D227" s="642">
        <f t="shared" si="19"/>
        <v>246040</v>
      </c>
      <c r="E227" s="642">
        <v>237400</v>
      </c>
      <c r="F227" s="76">
        <f t="shared" si="21"/>
        <v>5</v>
      </c>
      <c r="G227" s="642">
        <f t="shared" ref="G227:G228" si="26">237800-710</f>
        <v>237090</v>
      </c>
      <c r="H227" s="14" t="str">
        <f t="shared" si="25"/>
        <v>Não alterar</v>
      </c>
      <c r="I227" s="1114">
        <f t="shared" si="20"/>
        <v>0.93567472054490597</v>
      </c>
      <c r="J227" s="1114">
        <v>6035.6677672829992</v>
      </c>
      <c r="K227" s="1114">
        <v>246035.66776728301</v>
      </c>
      <c r="L227" s="4">
        <v>262950</v>
      </c>
    </row>
    <row r="228" spans="2:12" ht="13.5" thickBot="1" x14ac:dyDescent="0.25">
      <c r="B228" s="20"/>
      <c r="C228" s="640" t="s">
        <v>539</v>
      </c>
      <c r="D228" s="642">
        <f t="shared" si="19"/>
        <v>246040</v>
      </c>
      <c r="E228" s="642">
        <v>237400</v>
      </c>
      <c r="F228" s="76">
        <f t="shared" si="21"/>
        <v>5</v>
      </c>
      <c r="G228" s="642">
        <f t="shared" si="26"/>
        <v>237090</v>
      </c>
      <c r="H228" s="14" t="str">
        <f t="shared" si="25"/>
        <v>Não alterar</v>
      </c>
      <c r="I228" s="1114">
        <f t="shared" si="20"/>
        <v>0.93567472054490597</v>
      </c>
      <c r="J228" s="1114">
        <v>6035.6677672829992</v>
      </c>
      <c r="K228" s="1114">
        <v>246035.66776728301</v>
      </c>
      <c r="L228" s="4">
        <v>262950</v>
      </c>
    </row>
    <row r="229" spans="2:12" ht="13.5" thickBot="1" x14ac:dyDescent="0.25">
      <c r="B229" s="20"/>
      <c r="C229" s="640" t="s">
        <v>540</v>
      </c>
      <c r="D229" s="642">
        <f t="shared" si="19"/>
        <v>245940</v>
      </c>
      <c r="E229" s="642">
        <v>236000</v>
      </c>
      <c r="F229" s="76">
        <f t="shared" si="21"/>
        <v>5</v>
      </c>
      <c r="G229" s="642">
        <v>235000</v>
      </c>
      <c r="H229" s="14" t="str">
        <f t="shared" si="25"/>
        <v>Não alterar</v>
      </c>
      <c r="I229" s="1114">
        <f t="shared" si="20"/>
        <v>0.9436417083988029</v>
      </c>
      <c r="J229" s="1114">
        <v>5941.3384599800002</v>
      </c>
      <c r="K229" s="1114">
        <v>245941.33845998</v>
      </c>
      <c r="L229" s="4">
        <v>260630</v>
      </c>
    </row>
    <row r="230" spans="2:12" ht="13.5" thickBot="1" x14ac:dyDescent="0.25">
      <c r="B230" s="20"/>
      <c r="C230" s="640" t="s">
        <v>541</v>
      </c>
      <c r="D230" s="642">
        <f t="shared" si="19"/>
        <v>245940</v>
      </c>
      <c r="E230" s="642">
        <v>236000</v>
      </c>
      <c r="F230" s="76">
        <f t="shared" si="21"/>
        <v>5</v>
      </c>
      <c r="G230" s="642">
        <v>230300</v>
      </c>
      <c r="H230" s="14" t="str">
        <f t="shared" si="25"/>
        <v>Não alterar</v>
      </c>
      <c r="I230" s="1114">
        <f t="shared" si="20"/>
        <v>0.96288990079077597</v>
      </c>
      <c r="J230" s="1114">
        <v>5941.3384599800002</v>
      </c>
      <c r="K230" s="1114">
        <v>245941.33845998</v>
      </c>
      <c r="L230" s="4">
        <v>255420</v>
      </c>
    </row>
    <row r="231" spans="2:12" ht="13.5" thickBot="1" x14ac:dyDescent="0.25">
      <c r="B231" s="20"/>
      <c r="C231" s="640" t="s">
        <v>542</v>
      </c>
      <c r="D231" s="642">
        <f t="shared" si="19"/>
        <v>246030</v>
      </c>
      <c r="E231" s="642">
        <v>237400</v>
      </c>
      <c r="F231" s="76">
        <f t="shared" si="21"/>
        <v>5</v>
      </c>
      <c r="G231" s="642">
        <v>234200</v>
      </c>
      <c r="H231" s="14" t="str">
        <f t="shared" si="25"/>
        <v>Não alterar</v>
      </c>
      <c r="I231" s="1114">
        <f t="shared" si="20"/>
        <v>0.94720180083650818</v>
      </c>
      <c r="J231" s="1114">
        <v>6035.6677672829992</v>
      </c>
      <c r="K231" s="1114">
        <v>246035.66776728301</v>
      </c>
      <c r="L231" s="4">
        <v>259750</v>
      </c>
    </row>
    <row r="232" spans="2:12" ht="13.5" thickBot="1" x14ac:dyDescent="0.25">
      <c r="B232" s="20"/>
      <c r="C232" s="640" t="s">
        <v>543</v>
      </c>
      <c r="D232" s="642">
        <f t="shared" si="19"/>
        <v>246030</v>
      </c>
      <c r="E232" s="642">
        <v>237400</v>
      </c>
      <c r="F232" s="76">
        <f t="shared" si="21"/>
        <v>5</v>
      </c>
      <c r="G232" s="642">
        <v>234200</v>
      </c>
      <c r="H232" s="14" t="str">
        <f t="shared" si="25"/>
        <v>Não alterar</v>
      </c>
      <c r="I232" s="1114">
        <f t="shared" si="20"/>
        <v>0.94720180083650818</v>
      </c>
      <c r="J232" s="1114">
        <v>6035.6677672829992</v>
      </c>
      <c r="K232" s="1114">
        <v>246035.66776728301</v>
      </c>
      <c r="L232" s="4">
        <v>259750</v>
      </c>
    </row>
    <row r="233" spans="2:12" ht="13.5" thickBot="1" x14ac:dyDescent="0.25">
      <c r="B233" s="20"/>
      <c r="C233" s="640" t="s">
        <v>544</v>
      </c>
      <c r="D233" s="642">
        <f t="shared" si="19"/>
        <v>245940</v>
      </c>
      <c r="E233" s="642">
        <v>237400</v>
      </c>
      <c r="F233" s="76">
        <f t="shared" si="21"/>
        <v>5</v>
      </c>
      <c r="G233" s="642">
        <v>230300</v>
      </c>
      <c r="H233" s="14" t="str">
        <f t="shared" si="25"/>
        <v>Não alterar</v>
      </c>
      <c r="I233" s="1114">
        <f t="shared" si="20"/>
        <v>0.96288990079077597</v>
      </c>
      <c r="J233" s="1114">
        <v>5941.3384599800002</v>
      </c>
      <c r="K233" s="1114">
        <v>245941.33845998</v>
      </c>
      <c r="L233" s="4">
        <v>255420</v>
      </c>
    </row>
    <row r="234" spans="2:12" ht="13.5" thickBot="1" x14ac:dyDescent="0.25">
      <c r="B234" s="20"/>
      <c r="C234" s="640" t="s">
        <v>545</v>
      </c>
      <c r="D234" s="642">
        <f t="shared" si="19"/>
        <v>245940</v>
      </c>
      <c r="E234" s="642">
        <v>237400</v>
      </c>
      <c r="F234" s="76">
        <f t="shared" si="21"/>
        <v>5</v>
      </c>
      <c r="G234" s="642">
        <v>235000</v>
      </c>
      <c r="H234" s="14" t="str">
        <f t="shared" si="25"/>
        <v>Não alterar</v>
      </c>
      <c r="I234" s="1114">
        <f t="shared" si="20"/>
        <v>0.9436417083988029</v>
      </c>
      <c r="J234" s="1114">
        <v>5941.3384599800002</v>
      </c>
      <c r="K234" s="1114">
        <v>245941.33845998</v>
      </c>
      <c r="L234" s="4">
        <v>260630</v>
      </c>
    </row>
    <row r="235" spans="2:12" ht="13.5" thickBot="1" x14ac:dyDescent="0.25">
      <c r="B235" s="20"/>
      <c r="C235" s="640" t="s">
        <v>546</v>
      </c>
      <c r="D235" s="642">
        <f t="shared" si="19"/>
        <v>246040</v>
      </c>
      <c r="E235" s="642">
        <v>237400</v>
      </c>
      <c r="F235" s="76">
        <f t="shared" si="21"/>
        <v>5</v>
      </c>
      <c r="G235" s="642">
        <f t="shared" ref="G235:G236" si="27">237800-710</f>
        <v>237090</v>
      </c>
      <c r="H235" s="14" t="str">
        <f t="shared" si="25"/>
        <v>Não alterar</v>
      </c>
      <c r="I235" s="1114">
        <f t="shared" si="20"/>
        <v>0.93567472054490597</v>
      </c>
      <c r="J235" s="1114">
        <v>6035.6677672829992</v>
      </c>
      <c r="K235" s="1114">
        <v>246035.66776728301</v>
      </c>
      <c r="L235" s="4">
        <v>262950</v>
      </c>
    </row>
    <row r="236" spans="2:12" ht="13.5" thickBot="1" x14ac:dyDescent="0.25">
      <c r="B236" s="20"/>
      <c r="C236" s="640" t="s">
        <v>547</v>
      </c>
      <c r="D236" s="642">
        <f t="shared" si="19"/>
        <v>246040</v>
      </c>
      <c r="E236" s="642">
        <v>237400</v>
      </c>
      <c r="F236" s="76">
        <f t="shared" si="21"/>
        <v>5</v>
      </c>
      <c r="G236" s="642">
        <f t="shared" si="27"/>
        <v>237090</v>
      </c>
      <c r="H236" s="14" t="str">
        <f t="shared" si="25"/>
        <v>Não alterar</v>
      </c>
      <c r="I236" s="1114">
        <f t="shared" si="20"/>
        <v>0.93567472054490597</v>
      </c>
      <c r="J236" s="1114">
        <v>6035.6677672829992</v>
      </c>
      <c r="K236" s="1114">
        <v>246035.66776728301</v>
      </c>
      <c r="L236" s="4">
        <v>262950</v>
      </c>
    </row>
    <row r="237" spans="2:12" ht="13.5" thickBot="1" x14ac:dyDescent="0.25">
      <c r="B237" s="20"/>
      <c r="C237" s="640" t="s">
        <v>548</v>
      </c>
      <c r="D237" s="642">
        <f t="shared" si="19"/>
        <v>246010</v>
      </c>
      <c r="E237" s="642">
        <v>240370</v>
      </c>
      <c r="F237" s="76">
        <f t="shared" si="21"/>
        <v>5</v>
      </c>
      <c r="G237" s="642">
        <v>225000</v>
      </c>
      <c r="H237" s="14" t="str">
        <f t="shared" si="25"/>
        <v>Não alterar</v>
      </c>
      <c r="I237" s="1114">
        <f t="shared" si="20"/>
        <v>0.98585527596906708</v>
      </c>
      <c r="J237" s="1114">
        <v>6010.3255653209999</v>
      </c>
      <c r="K237" s="1114">
        <v>246010.32556532099</v>
      </c>
      <c r="L237" s="4">
        <v>249540</v>
      </c>
    </row>
    <row r="238" spans="2:12" ht="13.5" thickBot="1" x14ac:dyDescent="0.25">
      <c r="B238" s="20"/>
      <c r="C238" s="640" t="s">
        <v>549</v>
      </c>
      <c r="D238" s="642">
        <f t="shared" si="19"/>
        <v>246010</v>
      </c>
      <c r="E238" s="642">
        <v>240370</v>
      </c>
      <c r="F238" s="76">
        <f t="shared" si="21"/>
        <v>5</v>
      </c>
      <c r="G238" s="642">
        <v>225000</v>
      </c>
      <c r="H238" s="14" t="str">
        <f t="shared" si="25"/>
        <v>Não alterar</v>
      </c>
      <c r="I238" s="1114">
        <f t="shared" si="20"/>
        <v>0.98585527596906708</v>
      </c>
      <c r="J238" s="1114">
        <v>6010.3255653209999</v>
      </c>
      <c r="K238" s="1114">
        <v>246010.32556532099</v>
      </c>
      <c r="L238" s="4">
        <v>249540</v>
      </c>
    </row>
    <row r="239" spans="2:12" ht="13.5" thickBot="1" x14ac:dyDescent="0.25">
      <c r="B239" s="20"/>
      <c r="C239" s="640" t="s">
        <v>550</v>
      </c>
      <c r="D239" s="642">
        <f t="shared" si="19"/>
        <v>246030</v>
      </c>
      <c r="E239" s="642">
        <v>237400</v>
      </c>
      <c r="F239" s="76">
        <f t="shared" si="21"/>
        <v>5</v>
      </c>
      <c r="G239" s="642">
        <v>234200</v>
      </c>
      <c r="H239" s="14" t="str">
        <f t="shared" si="25"/>
        <v>Não alterar</v>
      </c>
      <c r="I239" s="1114">
        <f t="shared" si="20"/>
        <v>0.94720180083650818</v>
      </c>
      <c r="J239" s="1114">
        <v>6035.6677672829992</v>
      </c>
      <c r="K239" s="1114">
        <v>246035.66776728301</v>
      </c>
      <c r="L239" s="4">
        <v>259750</v>
      </c>
    </row>
    <row r="240" spans="2:12" ht="13.5" thickBot="1" x14ac:dyDescent="0.25">
      <c r="B240" s="20"/>
      <c r="C240" s="640" t="s">
        <v>551</v>
      </c>
      <c r="D240" s="642">
        <f t="shared" si="19"/>
        <v>246030</v>
      </c>
      <c r="E240" s="642">
        <v>237400</v>
      </c>
      <c r="F240" s="76">
        <f t="shared" si="21"/>
        <v>5</v>
      </c>
      <c r="G240" s="642">
        <v>234200</v>
      </c>
      <c r="H240" s="14" t="str">
        <f t="shared" si="25"/>
        <v>Não alterar</v>
      </c>
      <c r="I240" s="1114">
        <f t="shared" si="20"/>
        <v>0.94720180083650818</v>
      </c>
      <c r="J240" s="1114">
        <v>6035.6677672829992</v>
      </c>
      <c r="K240" s="1114">
        <v>246035.66776728301</v>
      </c>
      <c r="L240" s="4">
        <v>259750</v>
      </c>
    </row>
    <row r="241" spans="2:12" ht="13.5" thickBot="1" x14ac:dyDescent="0.25">
      <c r="B241" s="20"/>
      <c r="C241" s="640" t="s">
        <v>552</v>
      </c>
      <c r="D241" s="642">
        <f t="shared" si="19"/>
        <v>246010</v>
      </c>
      <c r="E241" s="642">
        <v>240370</v>
      </c>
      <c r="F241" s="76">
        <f t="shared" si="21"/>
        <v>5</v>
      </c>
      <c r="G241" s="642">
        <v>225000</v>
      </c>
      <c r="H241" s="14" t="str">
        <f t="shared" si="25"/>
        <v>Não alterar</v>
      </c>
      <c r="I241" s="1114">
        <f t="shared" si="20"/>
        <v>0.98585527596906708</v>
      </c>
      <c r="J241" s="1114">
        <v>6010.3255653209999</v>
      </c>
      <c r="K241" s="1114">
        <v>246010.32556532099</v>
      </c>
      <c r="L241" s="4">
        <v>249540</v>
      </c>
    </row>
    <row r="242" spans="2:12" ht="13.5" thickBot="1" x14ac:dyDescent="0.25">
      <c r="B242" s="20"/>
      <c r="C242" s="640" t="s">
        <v>553</v>
      </c>
      <c r="D242" s="642">
        <f t="shared" si="19"/>
        <v>246010</v>
      </c>
      <c r="E242" s="642">
        <v>240370</v>
      </c>
      <c r="F242" s="76">
        <f t="shared" si="21"/>
        <v>5</v>
      </c>
      <c r="G242" s="642">
        <v>225000</v>
      </c>
      <c r="H242" s="14" t="str">
        <f t="shared" si="25"/>
        <v>Não alterar</v>
      </c>
      <c r="I242" s="1114">
        <f t="shared" si="20"/>
        <v>0.98586091795074937</v>
      </c>
      <c r="J242" s="1114">
        <v>6011.7334654299984</v>
      </c>
      <c r="K242" s="1114">
        <v>246011.73346543001</v>
      </c>
      <c r="L242" s="4">
        <v>249540</v>
      </c>
    </row>
    <row r="243" spans="2:12" ht="13.5" thickBot="1" x14ac:dyDescent="0.25">
      <c r="B243" s="20"/>
      <c r="C243" s="640" t="s">
        <v>554</v>
      </c>
      <c r="D243" s="642">
        <f t="shared" si="19"/>
        <v>246040</v>
      </c>
      <c r="E243" s="642">
        <v>237400</v>
      </c>
      <c r="F243" s="76">
        <f t="shared" si="21"/>
        <v>5</v>
      </c>
      <c r="G243" s="642">
        <f>237800-710</f>
        <v>237090</v>
      </c>
      <c r="H243" s="14" t="str">
        <f t="shared" si="25"/>
        <v>Não alterar</v>
      </c>
      <c r="I243" s="1114">
        <f t="shared" si="20"/>
        <v>0.93567472054490597</v>
      </c>
      <c r="J243" s="1114">
        <v>6035.6677672829992</v>
      </c>
      <c r="K243" s="1114">
        <v>246035.66776728301</v>
      </c>
      <c r="L243" s="4">
        <v>262950</v>
      </c>
    </row>
    <row r="244" spans="2:12" s="5" customFormat="1" x14ac:dyDescent="0.2">
      <c r="B244" s="15"/>
      <c r="C244" s="58"/>
      <c r="D244" s="58"/>
      <c r="E244" s="58"/>
    </row>
    <row r="245" spans="2:12" ht="13.5" thickBot="1" x14ac:dyDescent="0.25">
      <c r="B245" s="705" t="s">
        <v>153</v>
      </c>
      <c r="C245" s="705"/>
      <c r="D245" s="705"/>
      <c r="E245" s="705"/>
    </row>
    <row r="246" spans="2:12" x14ac:dyDescent="0.2">
      <c r="B246" s="33" t="s">
        <v>114</v>
      </c>
      <c r="C246" s="56"/>
      <c r="D246" s="63">
        <f>'Premissas e Calculos'!J9</f>
        <v>8.1600000000000006E-2</v>
      </c>
      <c r="E246" s="64" t="s">
        <v>138</v>
      </c>
    </row>
    <row r="247" spans="2:12" ht="13.5" thickBot="1" x14ac:dyDescent="0.25">
      <c r="B247" s="33" t="s">
        <v>113</v>
      </c>
      <c r="C247" s="56"/>
      <c r="D247" s="65">
        <f ca="1">'Simulador CEF'!F112</f>
        <v>157740.97387046114</v>
      </c>
      <c r="E247" s="74">
        <f>VLOOKUP($D$2,'DADOS DOS EMPREENDIMENTOS'!$C$10:$D$23,2,FALSE)</f>
        <v>3</v>
      </c>
      <c r="F247" s="33" t="s">
        <v>16</v>
      </c>
      <c r="G247" s="33" t="s">
        <v>18</v>
      </c>
      <c r="H247" s="33" t="s">
        <v>177</v>
      </c>
      <c r="I247" s="319" t="s">
        <v>178</v>
      </c>
      <c r="J247" s="33" t="s">
        <v>196</v>
      </c>
    </row>
    <row r="248" spans="2:12" s="1" customFormat="1" ht="30" customHeight="1" x14ac:dyDescent="0.2">
      <c r="B248" s="8" t="s">
        <v>17</v>
      </c>
      <c r="C248" s="8" t="s">
        <v>14</v>
      </c>
      <c r="D248" s="8" t="s">
        <v>15</v>
      </c>
      <c r="E248" s="75" t="s">
        <v>112</v>
      </c>
      <c r="F248" s="8">
        <f>VLOOKUP($D$2,'DADOS DOS EMPREENDIMENTOS'!A10:J23,10,FALSE)+3</f>
        <v>41</v>
      </c>
      <c r="G248" s="8">
        <f>VLOOKUP($D$2,'DADOS DOS EMPREENDIMENTOS'!A10:L23,12,FALSE)</f>
        <v>0</v>
      </c>
      <c r="H248" s="8">
        <f>VLOOKUP($D$2,'DADOS DOS EMPREENDIMENTOS'!A10:M23,13,FALSE)</f>
        <v>0</v>
      </c>
      <c r="I248" s="320">
        <f>VLOOKUP($D$2,'DADOS DOS EMPREENDIMENTOS'!A10:J23,10,FALSE)</f>
        <v>38</v>
      </c>
      <c r="J248" s="36">
        <f>VLOOKUP($D$2,'DADOS DOS EMPREENDIMENTOS'!A10:J23,10,FALSE)</f>
        <v>38</v>
      </c>
    </row>
    <row r="249" spans="2:12" s="2" customFormat="1" ht="6.75" customHeight="1" x14ac:dyDescent="0.2">
      <c r="B249" s="17"/>
      <c r="C249" s="27"/>
      <c r="D249" s="27"/>
    </row>
    <row r="250" spans="2:12" x14ac:dyDescent="0.2">
      <c r="B250" s="56">
        <v>1</v>
      </c>
      <c r="C250" s="66" t="e">
        <f>VLOOKUP(B250,'DADOS DOS EMPREENDIMENTOS'!$O$42:$FW$82,Apoio!$E$247,FALSE)</f>
        <v>#N/A</v>
      </c>
      <c r="D250" s="67" t="e">
        <f>VLOOKUP(B250,'DADOS DOS EMPREENDIMENTOS'!$O$42:$FW$82,Apoio!$E$247+1,FALSE)</f>
        <v>#N/A</v>
      </c>
      <c r="E250" s="68"/>
      <c r="F250" s="25"/>
    </row>
    <row r="251" spans="2:12" x14ac:dyDescent="0.2">
      <c r="B251" s="56">
        <v>2</v>
      </c>
      <c r="C251" s="66" t="e">
        <f>VLOOKUP(B251,'DADOS DOS EMPREENDIMENTOS'!$O$42:$FW$82,Apoio!$E$247,FALSE)</f>
        <v>#N/A</v>
      </c>
      <c r="D251" s="67" t="e">
        <f>VLOOKUP(B251,'DADOS DOS EMPREENDIMENTOS'!$O$42:$FW$82,Apoio!$E$247+1,FALSE)</f>
        <v>#N/A</v>
      </c>
      <c r="E251" s="68" t="e">
        <f ca="1">IF(B251&gt;$F$248,0,SUM($D$250:D250)*Apoio!$D$246*Apoio!$D$247/12)</f>
        <v>#N/A</v>
      </c>
      <c r="F251" s="25"/>
    </row>
    <row r="252" spans="2:12" x14ac:dyDescent="0.2">
      <c r="B252" s="56">
        <v>3</v>
      </c>
      <c r="C252" s="66" t="e">
        <f>VLOOKUP(B252,'DADOS DOS EMPREENDIMENTOS'!$O$42:$FW$82,Apoio!$E$247,FALSE)</f>
        <v>#N/A</v>
      </c>
      <c r="D252" s="67" t="e">
        <f>VLOOKUP(B252,'DADOS DOS EMPREENDIMENTOS'!$O$42:$FW$82,Apoio!$E$247+1,FALSE)</f>
        <v>#N/A</v>
      </c>
      <c r="E252" s="68" t="e">
        <f ca="1">IF(B252&gt;$F$248,0,SUM($D$250:D251)*Apoio!$D$246*Apoio!$D$247/12)</f>
        <v>#N/A</v>
      </c>
      <c r="F252" s="25"/>
    </row>
    <row r="253" spans="2:12" x14ac:dyDescent="0.2">
      <c r="B253" s="56">
        <v>4</v>
      </c>
      <c r="C253" s="66" t="e">
        <f>VLOOKUP(B253,'DADOS DOS EMPREENDIMENTOS'!$O$42:$FW$82,Apoio!$E$247,FALSE)</f>
        <v>#N/A</v>
      </c>
      <c r="D253" s="67" t="e">
        <f>VLOOKUP(B253,'DADOS DOS EMPREENDIMENTOS'!$O$42:$FW$82,Apoio!$E$247+1,FALSE)</f>
        <v>#N/A</v>
      </c>
      <c r="E253" s="68" t="e">
        <f ca="1">IF(B253&gt;$F$248,0,SUM($D$250:D252)*Apoio!$D$246*Apoio!$D$247/12)</f>
        <v>#N/A</v>
      </c>
      <c r="F253" s="25"/>
    </row>
    <row r="254" spans="2:12" x14ac:dyDescent="0.2">
      <c r="B254" s="56">
        <v>5</v>
      </c>
      <c r="C254" s="66" t="e">
        <f>VLOOKUP(B254,'DADOS DOS EMPREENDIMENTOS'!$O$42:$FW$82,Apoio!$E$247,FALSE)</f>
        <v>#N/A</v>
      </c>
      <c r="D254" s="67" t="e">
        <f>VLOOKUP(B254,'DADOS DOS EMPREENDIMENTOS'!$O$42:$FW$82,Apoio!$E$247+1,FALSE)</f>
        <v>#N/A</v>
      </c>
      <c r="E254" s="68" t="e">
        <f ca="1">IF(B254&gt;$F$248,0,SUM($D$250:D253)*Apoio!$D$246*Apoio!$D$247/12)</f>
        <v>#N/A</v>
      </c>
      <c r="F254" s="25"/>
    </row>
    <row r="255" spans="2:12" x14ac:dyDescent="0.2">
      <c r="B255" s="56">
        <v>6</v>
      </c>
      <c r="C255" s="66" t="e">
        <f>VLOOKUP(B255,'DADOS DOS EMPREENDIMENTOS'!$O$42:$FW$82,Apoio!$E$247,FALSE)</f>
        <v>#N/A</v>
      </c>
      <c r="D255" s="67" t="e">
        <f>VLOOKUP(B255,'DADOS DOS EMPREENDIMENTOS'!$O$42:$FW$82,Apoio!$E$247+1,FALSE)</f>
        <v>#N/A</v>
      </c>
      <c r="E255" s="68" t="e">
        <f ca="1">IF(B255&gt;$F$248,0,SUM($D$250:D254)*Apoio!$D$246*Apoio!$D$247/12)</f>
        <v>#N/A</v>
      </c>
      <c r="F255" s="25"/>
    </row>
    <row r="256" spans="2:12" x14ac:dyDescent="0.2">
      <c r="B256" s="56">
        <v>7</v>
      </c>
      <c r="C256" s="66" t="e">
        <f>VLOOKUP(B256,'DADOS DOS EMPREENDIMENTOS'!$O$42:$FW$82,Apoio!$E$247,FALSE)</f>
        <v>#N/A</v>
      </c>
      <c r="D256" s="67" t="e">
        <f>VLOOKUP(B256,'DADOS DOS EMPREENDIMENTOS'!$O$42:$FW$82,Apoio!$E$247+1,FALSE)</f>
        <v>#N/A</v>
      </c>
      <c r="E256" s="68" t="e">
        <f ca="1">IF(B256&gt;$F$248,0,SUM($D$250:D255)*Apoio!$D$246*Apoio!$D$247/12)</f>
        <v>#N/A</v>
      </c>
      <c r="F256" s="25"/>
    </row>
    <row r="257" spans="2:6" x14ac:dyDescent="0.2">
      <c r="B257" s="56">
        <v>8</v>
      </c>
      <c r="C257" s="66" t="e">
        <f>VLOOKUP(B257,'DADOS DOS EMPREENDIMENTOS'!$O$42:$FW$82,Apoio!$E$247,FALSE)</f>
        <v>#N/A</v>
      </c>
      <c r="D257" s="67" t="e">
        <f>VLOOKUP(B257,'DADOS DOS EMPREENDIMENTOS'!$O$42:$FW$82,Apoio!$E$247+1,FALSE)</f>
        <v>#N/A</v>
      </c>
      <c r="E257" s="68" t="e">
        <f ca="1">IF(B257&gt;$F$248,0,SUM($D$250:D256)*Apoio!$D$246*Apoio!$D$247/12)</f>
        <v>#N/A</v>
      </c>
      <c r="F257" s="25"/>
    </row>
    <row r="258" spans="2:6" x14ac:dyDescent="0.2">
      <c r="B258" s="56">
        <v>9</v>
      </c>
      <c r="C258" s="66" t="e">
        <f>VLOOKUP(B258,'DADOS DOS EMPREENDIMENTOS'!$O$42:$FW$82,Apoio!$E$247,FALSE)</f>
        <v>#N/A</v>
      </c>
      <c r="D258" s="67" t="e">
        <f>VLOOKUP(B258,'DADOS DOS EMPREENDIMENTOS'!$O$42:$FW$82,Apoio!$E$247+1,FALSE)</f>
        <v>#N/A</v>
      </c>
      <c r="E258" s="68" t="e">
        <f ca="1">IF(B258&gt;$F$248,0,SUM($D$250:D257)*Apoio!$D$246*Apoio!$D$247/12)</f>
        <v>#N/A</v>
      </c>
      <c r="F258" s="25"/>
    </row>
    <row r="259" spans="2:6" x14ac:dyDescent="0.2">
      <c r="B259" s="56">
        <v>10</v>
      </c>
      <c r="C259" s="66" t="e">
        <f>VLOOKUP(B259,'DADOS DOS EMPREENDIMENTOS'!$O$42:$FW$82,Apoio!$E$247,FALSE)</f>
        <v>#N/A</v>
      </c>
      <c r="D259" s="67" t="e">
        <f>VLOOKUP(B259,'DADOS DOS EMPREENDIMENTOS'!$O$42:$FW$82,Apoio!$E$247+1,FALSE)</f>
        <v>#N/A</v>
      </c>
      <c r="E259" s="68" t="e">
        <f ca="1">IF(B259&gt;$F$248,0,SUM($D$250:D258)*Apoio!$D$246*Apoio!$D$247/12)</f>
        <v>#N/A</v>
      </c>
      <c r="F259" s="25"/>
    </row>
    <row r="260" spans="2:6" x14ac:dyDescent="0.2">
      <c r="B260" s="56">
        <v>11</v>
      </c>
      <c r="C260" s="66" t="e">
        <f>VLOOKUP(B260,'DADOS DOS EMPREENDIMENTOS'!$O$42:$FW$82,Apoio!$E$247,FALSE)</f>
        <v>#N/A</v>
      </c>
      <c r="D260" s="67" t="e">
        <f>VLOOKUP(B260,'DADOS DOS EMPREENDIMENTOS'!$O$42:$FW$82,Apoio!$E$247+1,FALSE)</f>
        <v>#N/A</v>
      </c>
      <c r="E260" s="68" t="e">
        <f ca="1">IF(B260&gt;$F$248,0,SUM($D$250:D259)*Apoio!$D$246*Apoio!$D$247/12)</f>
        <v>#N/A</v>
      </c>
      <c r="F260" s="25"/>
    </row>
    <row r="261" spans="2:6" x14ac:dyDescent="0.2">
      <c r="B261" s="56">
        <v>12</v>
      </c>
      <c r="C261" s="66" t="e">
        <f>VLOOKUP(B261,'DADOS DOS EMPREENDIMENTOS'!$O$42:$FW$82,Apoio!$E$247,FALSE)</f>
        <v>#N/A</v>
      </c>
      <c r="D261" s="67" t="e">
        <f>VLOOKUP(B261,'DADOS DOS EMPREENDIMENTOS'!$O$42:$FW$82,Apoio!$E$247+1,FALSE)</f>
        <v>#N/A</v>
      </c>
      <c r="E261" s="68" t="e">
        <f ca="1">IF(B261&gt;$F$248,0,SUM($D$250:D260)*Apoio!$D$246*Apoio!$D$247/12)</f>
        <v>#N/A</v>
      </c>
      <c r="F261" s="25"/>
    </row>
    <row r="262" spans="2:6" x14ac:dyDescent="0.2">
      <c r="B262" s="56">
        <v>13</v>
      </c>
      <c r="C262" s="66" t="e">
        <f>VLOOKUP(B262,'DADOS DOS EMPREENDIMENTOS'!$O$42:$FW$82,Apoio!$E$247,FALSE)</f>
        <v>#N/A</v>
      </c>
      <c r="D262" s="67" t="e">
        <f>VLOOKUP(B262,'DADOS DOS EMPREENDIMENTOS'!$O$42:$FW$82,Apoio!$E$247+1,FALSE)</f>
        <v>#N/A</v>
      </c>
      <c r="E262" s="68" t="e">
        <f ca="1">IF(B262&gt;$F$248,0,SUM($D$250:D261)*Apoio!$D$246*Apoio!$D$247/12)</f>
        <v>#N/A</v>
      </c>
      <c r="F262" s="25"/>
    </row>
    <row r="263" spans="2:6" x14ac:dyDescent="0.2">
      <c r="B263" s="56">
        <v>14</v>
      </c>
      <c r="C263" s="66" t="e">
        <f>VLOOKUP(B263,'DADOS DOS EMPREENDIMENTOS'!$O$42:$FW$82,Apoio!$E$247,FALSE)</f>
        <v>#N/A</v>
      </c>
      <c r="D263" s="67" t="e">
        <f>VLOOKUP(B263,'DADOS DOS EMPREENDIMENTOS'!$O$42:$FW$82,Apoio!$E$247+1,FALSE)</f>
        <v>#N/A</v>
      </c>
      <c r="E263" s="68" t="e">
        <f ca="1">IF(B263&gt;$F$248,0,SUM($D$250:D262)*Apoio!$D$246*Apoio!$D$247/12)</f>
        <v>#N/A</v>
      </c>
      <c r="F263" s="25"/>
    </row>
    <row r="264" spans="2:6" x14ac:dyDescent="0.2">
      <c r="B264" s="56">
        <v>15</v>
      </c>
      <c r="C264" s="66" t="e">
        <f>VLOOKUP(B264,'DADOS DOS EMPREENDIMENTOS'!$O$42:$FW$82,Apoio!$E$247,FALSE)</f>
        <v>#N/A</v>
      </c>
      <c r="D264" s="67" t="e">
        <f>VLOOKUP(B264,'DADOS DOS EMPREENDIMENTOS'!$O$42:$FW$82,Apoio!$E$247+1,FALSE)</f>
        <v>#N/A</v>
      </c>
      <c r="E264" s="68" t="e">
        <f ca="1">IF(B264&gt;$F$248,0,SUM($D$250:D263)*Apoio!$D$246*Apoio!$D$247/12)</f>
        <v>#N/A</v>
      </c>
      <c r="F264" s="25"/>
    </row>
    <row r="265" spans="2:6" x14ac:dyDescent="0.2">
      <c r="B265" s="56">
        <v>16</v>
      </c>
      <c r="C265" s="66" t="e">
        <f>VLOOKUP(B265,'DADOS DOS EMPREENDIMENTOS'!$O$42:$FW$82,Apoio!$E$247,FALSE)</f>
        <v>#N/A</v>
      </c>
      <c r="D265" s="67" t="e">
        <f>VLOOKUP(B265,'DADOS DOS EMPREENDIMENTOS'!$O$42:$FW$82,Apoio!$E$247+1,FALSE)</f>
        <v>#N/A</v>
      </c>
      <c r="E265" s="68" t="e">
        <f ca="1">IF(B265&gt;$F$248,0,SUM($D$250:D264)*Apoio!$D$246*Apoio!$D$247/12)</f>
        <v>#N/A</v>
      </c>
      <c r="F265" s="25"/>
    </row>
    <row r="266" spans="2:6" x14ac:dyDescent="0.2">
      <c r="B266" s="56">
        <v>17</v>
      </c>
      <c r="C266" s="66" t="e">
        <f>VLOOKUP(B266,'DADOS DOS EMPREENDIMENTOS'!$O$42:$FW$82,Apoio!$E$247,FALSE)</f>
        <v>#N/A</v>
      </c>
      <c r="D266" s="67" t="e">
        <f>VLOOKUP(B266,'DADOS DOS EMPREENDIMENTOS'!$O$42:$FW$82,Apoio!$E$247+1,FALSE)</f>
        <v>#N/A</v>
      </c>
      <c r="E266" s="68" t="e">
        <f ca="1">IF(B266&gt;$F$248,0,SUM($D$250:D265)*Apoio!$D$246*Apoio!$D$247/12)</f>
        <v>#N/A</v>
      </c>
      <c r="F266" s="25"/>
    </row>
    <row r="267" spans="2:6" x14ac:dyDescent="0.2">
      <c r="B267" s="56">
        <v>18</v>
      </c>
      <c r="C267" s="66" t="e">
        <f>VLOOKUP(B267,'DADOS DOS EMPREENDIMENTOS'!$O$42:$FW$82,Apoio!$E$247,FALSE)</f>
        <v>#N/A</v>
      </c>
      <c r="D267" s="67" t="e">
        <f>VLOOKUP(B267,'DADOS DOS EMPREENDIMENTOS'!$O$42:$FW$82,Apoio!$E$247+1,FALSE)</f>
        <v>#N/A</v>
      </c>
      <c r="E267" s="68" t="e">
        <f ca="1">IF(B267&gt;$F$248,0,SUM($D$250:D266)*Apoio!$D$246*Apoio!$D$247/12)</f>
        <v>#N/A</v>
      </c>
      <c r="F267" s="25"/>
    </row>
    <row r="268" spans="2:6" x14ac:dyDescent="0.2">
      <c r="B268" s="56">
        <v>19</v>
      </c>
      <c r="C268" s="66" t="e">
        <f>VLOOKUP(B268,'DADOS DOS EMPREENDIMENTOS'!$O$42:$FW$82,Apoio!$E$247,FALSE)</f>
        <v>#N/A</v>
      </c>
      <c r="D268" s="67" t="e">
        <f>VLOOKUP(B268,'DADOS DOS EMPREENDIMENTOS'!$O$42:$FW$82,Apoio!$E$247+1,FALSE)</f>
        <v>#N/A</v>
      </c>
      <c r="E268" s="68" t="e">
        <f ca="1">IF(B268&gt;$F$248,0,SUM($D$250:D267)*Apoio!$D$246*Apoio!$D$247/12)</f>
        <v>#N/A</v>
      </c>
      <c r="F268" s="25"/>
    </row>
    <row r="269" spans="2:6" x14ac:dyDescent="0.2">
      <c r="B269" s="56">
        <v>20</v>
      </c>
      <c r="C269" s="66" t="e">
        <f>VLOOKUP(B269,'DADOS DOS EMPREENDIMENTOS'!$O$42:$FW$82,Apoio!$E$247,FALSE)</f>
        <v>#N/A</v>
      </c>
      <c r="D269" s="67" t="e">
        <f>VLOOKUP(B269,'DADOS DOS EMPREENDIMENTOS'!$O$42:$FW$82,Apoio!$E$247+1,FALSE)</f>
        <v>#N/A</v>
      </c>
      <c r="E269" s="68" t="e">
        <f ca="1">IF(B269&gt;$F$248,0,SUM($D$250:D268)*Apoio!$D$246*Apoio!$D$247/12)</f>
        <v>#N/A</v>
      </c>
      <c r="F269" s="25"/>
    </row>
    <row r="270" spans="2:6" x14ac:dyDescent="0.2">
      <c r="B270" s="56">
        <v>21</v>
      </c>
      <c r="C270" s="66" t="e">
        <f>VLOOKUP(B270,'DADOS DOS EMPREENDIMENTOS'!$O$42:$FW$82,Apoio!$E$247,FALSE)</f>
        <v>#N/A</v>
      </c>
      <c r="D270" s="67" t="e">
        <f>VLOOKUP(B270,'DADOS DOS EMPREENDIMENTOS'!$O$42:$FW$82,Apoio!$E$247+1,FALSE)</f>
        <v>#N/A</v>
      </c>
      <c r="E270" s="68" t="e">
        <f ca="1">IF(B270&gt;$F$248,0,SUM($D$250:D269)*Apoio!$D$246*Apoio!$D$247/12)</f>
        <v>#N/A</v>
      </c>
      <c r="F270" s="25"/>
    </row>
    <row r="271" spans="2:6" x14ac:dyDescent="0.2">
      <c r="B271" s="56">
        <v>22</v>
      </c>
      <c r="C271" s="66" t="e">
        <f>VLOOKUP(B271,'DADOS DOS EMPREENDIMENTOS'!$O$42:$FW$82,Apoio!$E$247,FALSE)</f>
        <v>#N/A</v>
      </c>
      <c r="D271" s="67" t="e">
        <f>VLOOKUP(B271,'DADOS DOS EMPREENDIMENTOS'!$O$42:$FW$82,Apoio!$E$247+1,FALSE)</f>
        <v>#N/A</v>
      </c>
      <c r="E271" s="68" t="e">
        <f ca="1">IF(B271&gt;$F$248,0,SUM($D$250:D270)*Apoio!$D$246*Apoio!$D$247/12)</f>
        <v>#N/A</v>
      </c>
      <c r="F271" s="25"/>
    </row>
    <row r="272" spans="2:6" x14ac:dyDescent="0.2">
      <c r="B272" s="56">
        <v>23</v>
      </c>
      <c r="C272" s="66" t="e">
        <f>VLOOKUP(B272,'DADOS DOS EMPREENDIMENTOS'!$O$42:$FW$82,Apoio!$E$247,FALSE)</f>
        <v>#N/A</v>
      </c>
      <c r="D272" s="67" t="e">
        <f>VLOOKUP(B272,'DADOS DOS EMPREENDIMENTOS'!$O$42:$FW$82,Apoio!$E$247+1,FALSE)</f>
        <v>#N/A</v>
      </c>
      <c r="E272" s="68" t="e">
        <f ca="1">IF(B272&gt;$F$248,0,SUM($D$250:D271)*Apoio!$D$246*Apoio!$D$247/12)</f>
        <v>#N/A</v>
      </c>
      <c r="F272" s="25"/>
    </row>
    <row r="273" spans="2:6" x14ac:dyDescent="0.2">
      <c r="B273" s="56">
        <v>24</v>
      </c>
      <c r="C273" s="66" t="e">
        <f>VLOOKUP(B273,'DADOS DOS EMPREENDIMENTOS'!$O$42:$FW$82,Apoio!$E$247,FALSE)</f>
        <v>#N/A</v>
      </c>
      <c r="D273" s="67" t="e">
        <f>VLOOKUP(B273,'DADOS DOS EMPREENDIMENTOS'!$O$42:$FW$82,Apoio!$E$247+1,FALSE)</f>
        <v>#N/A</v>
      </c>
      <c r="E273" s="68" t="e">
        <f ca="1">IF(B273&gt;$F$248,0,SUM($D$250:D272)*Apoio!$D$246*Apoio!$D$247/12)</f>
        <v>#N/A</v>
      </c>
      <c r="F273" s="25"/>
    </row>
    <row r="274" spans="2:6" x14ac:dyDescent="0.2">
      <c r="B274" s="56">
        <v>25</v>
      </c>
      <c r="C274" s="66" t="e">
        <f>VLOOKUP(B274,'DADOS DOS EMPREENDIMENTOS'!$O$42:$FW$82,Apoio!$E$247,FALSE)</f>
        <v>#N/A</v>
      </c>
      <c r="D274" s="67" t="e">
        <f>VLOOKUP(B274,'DADOS DOS EMPREENDIMENTOS'!$O$42:$FW$82,Apoio!$E$247+1,FALSE)</f>
        <v>#N/A</v>
      </c>
      <c r="E274" s="68" t="e">
        <f ca="1">IF(B274&gt;$F$248,0,SUM($D$250:D273)*Apoio!$D$246*Apoio!$D$247/12)</f>
        <v>#N/A</v>
      </c>
      <c r="F274" s="25"/>
    </row>
    <row r="275" spans="2:6" x14ac:dyDescent="0.2">
      <c r="B275" s="56">
        <v>26</v>
      </c>
      <c r="C275" s="66" t="e">
        <f>VLOOKUP(B275,'DADOS DOS EMPREENDIMENTOS'!$O$42:$FW$82,Apoio!$E$247,FALSE)</f>
        <v>#N/A</v>
      </c>
      <c r="D275" s="67" t="e">
        <f>VLOOKUP(B275,'DADOS DOS EMPREENDIMENTOS'!$O$42:$FW$82,Apoio!$E$247+1,FALSE)</f>
        <v>#N/A</v>
      </c>
      <c r="E275" s="68" t="e">
        <f ca="1">IF(B275&gt;$F$248,0,SUM($D$250:D274)*Apoio!$D$246*Apoio!$D$247/12)</f>
        <v>#N/A</v>
      </c>
      <c r="F275" s="25"/>
    </row>
    <row r="276" spans="2:6" x14ac:dyDescent="0.2">
      <c r="B276" s="56">
        <v>27</v>
      </c>
      <c r="C276" s="66">
        <f>VLOOKUP(B276,'DADOS DOS EMPREENDIMENTOS'!$O$42:$FW$82,Apoio!$E$247,FALSE)</f>
        <v>216040</v>
      </c>
      <c r="D276" s="67" t="str">
        <f>VLOOKUP(B276,'DADOS DOS EMPREENDIMENTOS'!$O$42:$FW$82,Apoio!$E$247+1,FALSE)</f>
        <v xml:space="preserve"> R$      225.000,00 </v>
      </c>
      <c r="E276" s="68" t="e">
        <f ca="1">IF(B276&gt;$F$248,0,SUM($D$250:D275)*Apoio!$D$246*Apoio!$D$247/12)</f>
        <v>#N/A</v>
      </c>
      <c r="F276" s="25"/>
    </row>
    <row r="277" spans="2:6" x14ac:dyDescent="0.2">
      <c r="B277" s="56">
        <v>28</v>
      </c>
      <c r="C277" s="66">
        <f>VLOOKUP(B277,'DADOS DOS EMPREENDIMENTOS'!$O$42:$FW$82,Apoio!$E$247,FALSE)</f>
        <v>215920</v>
      </c>
      <c r="D277" s="67" t="str">
        <f>VLOOKUP(B277,'DADOS DOS EMPREENDIMENTOS'!$O$42:$FW$82,Apoio!$E$247+1,FALSE)</f>
        <v xml:space="preserve"> R$      225.000,00 </v>
      </c>
      <c r="E277" s="68" t="e">
        <f ca="1">IF(B277&gt;$F$248,0,SUM($D$250:D276)*Apoio!$D$246*Apoio!$D$247/12)</f>
        <v>#N/A</v>
      </c>
      <c r="F277" s="25"/>
    </row>
    <row r="278" spans="2:6" x14ac:dyDescent="0.2">
      <c r="B278" s="56">
        <v>29</v>
      </c>
      <c r="C278" s="66">
        <f>VLOOKUP(B278,'DADOS DOS EMPREENDIMENTOS'!$O$42:$FW$82,Apoio!$E$247,FALSE)</f>
        <v>215940</v>
      </c>
      <c r="D278" s="67" t="str">
        <f>VLOOKUP(B278,'DADOS DOS EMPREENDIMENTOS'!$O$42:$FW$82,Apoio!$E$247+1,FALSE)</f>
        <v xml:space="preserve"> R$      225.000,00 </v>
      </c>
      <c r="E278" s="68" t="e">
        <f ca="1">IF(B278&gt;$F$248,0,SUM($D$250:D277)*Apoio!$D$246*Apoio!$D$247/12)</f>
        <v>#N/A</v>
      </c>
      <c r="F278" s="25"/>
    </row>
    <row r="279" spans="2:6" x14ac:dyDescent="0.2">
      <c r="B279" s="56">
        <v>30</v>
      </c>
      <c r="C279" s="66">
        <f>VLOOKUP(B279,'DADOS DOS EMPREENDIMENTOS'!$O$42:$FW$82,Apoio!$E$247,FALSE)</f>
        <v>216040</v>
      </c>
      <c r="D279" s="67" t="str">
        <f>VLOOKUP(B279,'DADOS DOS EMPREENDIMENTOS'!$O$42:$FW$82,Apoio!$E$247+1,FALSE)</f>
        <v xml:space="preserve"> R$      225.000,00 </v>
      </c>
      <c r="E279" s="68" t="e">
        <f ca="1">IF(B279&gt;$F$248,0,SUM($D$250:D278)*Apoio!$D$246*Apoio!$D$247/12)</f>
        <v>#N/A</v>
      </c>
      <c r="F279" s="25"/>
    </row>
    <row r="280" spans="2:6" x14ac:dyDescent="0.2">
      <c r="B280" s="56">
        <v>31</v>
      </c>
      <c r="C280" s="66">
        <f>VLOOKUP(B280,'DADOS DOS EMPREENDIMENTOS'!$O$42:$FW$82,Apoio!$E$247,FALSE)</f>
        <v>246040</v>
      </c>
      <c r="D280" s="67" t="str">
        <f>VLOOKUP(B280,'DADOS DOS EMPREENDIMENTOS'!$O$42:$FW$82,Apoio!$E$247+1,FALSE)</f>
        <v xml:space="preserve"> R$      225.000,00 </v>
      </c>
      <c r="E280" s="68" t="e">
        <f ca="1">IF(B280&gt;$F$248,0,SUM($D$250:D279)*Apoio!$D$246*Apoio!$D$247/12)</f>
        <v>#N/A</v>
      </c>
      <c r="F280" s="25"/>
    </row>
    <row r="281" spans="2:6" x14ac:dyDescent="0.2">
      <c r="B281" s="56">
        <v>32</v>
      </c>
      <c r="C281" s="66">
        <f>VLOOKUP(B281,'DADOS DOS EMPREENDIMENTOS'!$O$42:$FW$82,Apoio!$E$247,FALSE)</f>
        <v>245940</v>
      </c>
      <c r="D281" s="67" t="str">
        <f>VLOOKUP(B281,'DADOS DOS EMPREENDIMENTOS'!$O$42:$FW$82,Apoio!$E$247+1,FALSE)</f>
        <v xml:space="preserve"> R$      225.000,00 </v>
      </c>
      <c r="E281" s="68" t="e">
        <f ca="1">IF(B281&gt;$F$248,0,SUM($D$250:D280)*Apoio!$D$246*Apoio!$D$247/12)</f>
        <v>#N/A</v>
      </c>
      <c r="F281" s="25"/>
    </row>
    <row r="282" spans="2:6" x14ac:dyDescent="0.2">
      <c r="B282" s="56">
        <v>33</v>
      </c>
      <c r="C282" s="66">
        <f>VLOOKUP(B282,'DADOS DOS EMPREENDIMENTOS'!$O$42:$FW$82,Apoio!$E$247,FALSE)</f>
        <v>245940</v>
      </c>
      <c r="D282" s="67" t="str">
        <f>VLOOKUP(B282,'DADOS DOS EMPREENDIMENTOS'!$O$42:$FW$82,Apoio!$E$247+1,FALSE)</f>
        <v xml:space="preserve"> R$      225.000,00 </v>
      </c>
      <c r="E282" s="68" t="e">
        <f ca="1">IF(B282&gt;$F$248,0,SUM($D$250:D281)*Apoio!$D$246*Apoio!$D$247/12)</f>
        <v>#N/A</v>
      </c>
      <c r="F282" s="25"/>
    </row>
    <row r="283" spans="2:6" x14ac:dyDescent="0.2">
      <c r="B283" s="56">
        <v>34</v>
      </c>
      <c r="C283" s="66">
        <f>VLOOKUP(B283,'DADOS DOS EMPREENDIMENTOS'!$O$42:$FW$82,Apoio!$E$247,FALSE)</f>
        <v>246040</v>
      </c>
      <c r="D283" s="67" t="str">
        <f>VLOOKUP(B283,'DADOS DOS EMPREENDIMENTOS'!$O$42:$FW$82,Apoio!$E$247+1,FALSE)</f>
        <v xml:space="preserve"> R$      225.000,00 </v>
      </c>
      <c r="E283" s="68" t="e">
        <f ca="1">IF(B283&gt;$F$248,0,SUM($D$250:D282)*Apoio!$D$246*Apoio!$D$247/12)</f>
        <v>#N/A</v>
      </c>
      <c r="F283" s="25"/>
    </row>
    <row r="284" spans="2:6" x14ac:dyDescent="0.2">
      <c r="B284" s="56">
        <v>35</v>
      </c>
      <c r="C284" s="66">
        <f>VLOOKUP(B284,'DADOS DOS EMPREENDIMENTOS'!$O$42:$FW$82,Apoio!$E$247,FALSE)</f>
        <v>246040</v>
      </c>
      <c r="D284" s="67" t="str">
        <f>VLOOKUP(B284,'DADOS DOS EMPREENDIMENTOS'!$O$42:$FW$82,Apoio!$E$247+1,FALSE)</f>
        <v xml:space="preserve"> R$      225.000,00 </v>
      </c>
      <c r="E284" s="68" t="e">
        <f ca="1">IF(B284&gt;$F$248,0,SUM($D$250:D283)*Apoio!$D$246*Apoio!$D$247/12)</f>
        <v>#N/A</v>
      </c>
      <c r="F284" s="25"/>
    </row>
    <row r="285" spans="2:6" x14ac:dyDescent="0.2">
      <c r="B285" s="56">
        <v>36</v>
      </c>
      <c r="C285" s="66">
        <f>VLOOKUP(B285,'DADOS DOS EMPREENDIMENTOS'!$O$42:$FW$82,Apoio!$E$247,FALSE)</f>
        <v>245940</v>
      </c>
      <c r="D285" s="67" t="str">
        <f>VLOOKUP(B285,'DADOS DOS EMPREENDIMENTOS'!$O$42:$FW$82,Apoio!$E$247+1,FALSE)</f>
        <v xml:space="preserve"> R$      225.000,00 </v>
      </c>
      <c r="E285" s="68" t="e">
        <f ca="1">IF(B285&gt;$F$248,0,SUM($D$250:D284)*Apoio!$D$246*Apoio!$D$247/12)</f>
        <v>#N/A</v>
      </c>
      <c r="F285" s="25"/>
    </row>
    <row r="286" spans="2:6" x14ac:dyDescent="0.2">
      <c r="B286" s="56">
        <v>37</v>
      </c>
      <c r="C286" s="66">
        <f>VLOOKUP(B286,'DADOS DOS EMPREENDIMENTOS'!$O$42:$FW$82,Apoio!$E$247,FALSE)</f>
        <v>245940</v>
      </c>
      <c r="D286" s="67" t="str">
        <f>VLOOKUP(B286,'DADOS DOS EMPREENDIMENTOS'!$O$42:$FW$82,Apoio!$E$247+1,FALSE)</f>
        <v xml:space="preserve"> R$      225.000,00 </v>
      </c>
      <c r="E286" s="68" t="e">
        <f ca="1">IF(B286&gt;$F$248,0,SUM($D$250:D285)*Apoio!$D$246*Apoio!$D$247/12)</f>
        <v>#N/A</v>
      </c>
      <c r="F286" s="25"/>
    </row>
    <row r="287" spans="2:6" x14ac:dyDescent="0.2">
      <c r="B287" s="56">
        <v>38</v>
      </c>
      <c r="C287" s="66">
        <f>VLOOKUP(B287,'DADOS DOS EMPREENDIMENTOS'!$O$42:$FW$82,Apoio!$E$247,FALSE)</f>
        <v>246040</v>
      </c>
      <c r="D287" s="67" t="str">
        <f>VLOOKUP(B287,'DADOS DOS EMPREENDIMENTOS'!$O$42:$FW$82,Apoio!$E$247+1,FALSE)</f>
        <v xml:space="preserve"> R$      225.000,00 </v>
      </c>
      <c r="E287" s="68" t="e">
        <f ca="1">IF(B287&gt;$F$248,0,SUM($D$250:D286)*Apoio!$D$246*Apoio!$D$247/12)</f>
        <v>#N/A</v>
      </c>
      <c r="F287" s="25"/>
    </row>
    <row r="288" spans="2:6" x14ac:dyDescent="0.2">
      <c r="B288" s="56">
        <v>39</v>
      </c>
      <c r="C288" s="66">
        <f>VLOOKUP(B288,'DADOS DOS EMPREENDIMENTOS'!$O$42:$FW$82,Apoio!$E$247,FALSE)</f>
        <v>246030</v>
      </c>
      <c r="D288" s="67" t="str">
        <f>VLOOKUP(B288,'DADOS DOS EMPREENDIMENTOS'!$O$42:$FW$82,Apoio!$E$247+1,FALSE)</f>
        <v xml:space="preserve"> R$      225.000,00 </v>
      </c>
      <c r="E288" s="68" t="e">
        <f ca="1">IF(B288&gt;$F$248,0,SUM($D$250:D287)*Apoio!$D$246*Apoio!$D$247/12)</f>
        <v>#N/A</v>
      </c>
      <c r="F288" s="25"/>
    </row>
    <row r="289" spans="2:6" x14ac:dyDescent="0.2">
      <c r="B289" s="56">
        <v>40</v>
      </c>
      <c r="C289" s="66">
        <f>VLOOKUP(B289,'DADOS DOS EMPREENDIMENTOS'!$O$42:$FW$82,Apoio!$E$247,FALSE)</f>
        <v>245940</v>
      </c>
      <c r="D289" s="67" t="str">
        <f>VLOOKUP(B289,'DADOS DOS EMPREENDIMENTOS'!$O$42:$FW$82,Apoio!$E$247+1,FALSE)</f>
        <v xml:space="preserve"> R$      225.000,00 </v>
      </c>
      <c r="E289" s="68" t="e">
        <f ca="1">IF(B289&gt;$F$248,0,SUM($D$250:D288)*Apoio!$D$246*Apoio!$D$247/12)</f>
        <v>#N/A</v>
      </c>
      <c r="F289" s="25"/>
    </row>
  </sheetData>
  <sheetProtection algorithmName="SHA-512" hashValue="1y/xdLf89x8SN5KnNCA8j+khofqdPgkkChGhu2IoLMxpP6nisbPU8JMu3o5AL6mjjgEnFasQGdFvcMwEjadbQA==" saltValue="ySVSd7E1AJ2+qne64KTNtQ==" spinCount="100000" sheet="1" objects="1" scenarios="1"/>
  <autoFilter ref="A8:J243"/>
  <mergeCells count="5">
    <mergeCell ref="B245:E245"/>
    <mergeCell ref="B1:E1"/>
    <mergeCell ref="D3:E3"/>
    <mergeCell ref="B6:B8"/>
    <mergeCell ref="B5:E5"/>
  </mergeCells>
  <phoneticPr fontId="3" type="noConversion"/>
  <conditionalFormatting sqref="H9:H243">
    <cfRule type="cellIs" dxfId="32" priority="2" operator="between">
      <formula>$H$9</formula>
      <formula>$H$9</formula>
    </cfRule>
    <cfRule type="cellIs" dxfId="31" priority="1" operator="between">
      <formula>$I$8</formula>
      <formula>$J$8</formula>
    </cfRule>
  </conditionalFormatting>
  <pageMargins left="0.75" right="0.75" top="1" bottom="1" header="0.49212598499999999" footer="0.49212598499999999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9:D48"/>
  <sheetViews>
    <sheetView topLeftCell="A32" workbookViewId="0">
      <selection activeCell="B48" sqref="B48"/>
    </sheetView>
  </sheetViews>
  <sheetFormatPr defaultRowHeight="12.75" x14ac:dyDescent="0.2"/>
  <cols>
    <col min="1" max="1" width="10.5703125" customWidth="1"/>
  </cols>
  <sheetData>
    <row r="9" spans="1:4" x14ac:dyDescent="0.2">
      <c r="B9" s="563">
        <v>42795</v>
      </c>
    </row>
    <row r="10" spans="1:4" x14ac:dyDescent="0.2">
      <c r="B10" s="563">
        <v>42826</v>
      </c>
    </row>
    <row r="11" spans="1:4" x14ac:dyDescent="0.2">
      <c r="A11" s="365" t="s">
        <v>571</v>
      </c>
      <c r="B11" s="563">
        <v>42856</v>
      </c>
      <c r="C11" s="365" t="s">
        <v>572</v>
      </c>
    </row>
    <row r="12" spans="1:4" x14ac:dyDescent="0.2">
      <c r="B12" s="563">
        <v>42887</v>
      </c>
      <c r="C12" s="365" t="s">
        <v>572</v>
      </c>
    </row>
    <row r="13" spans="1:4" x14ac:dyDescent="0.2">
      <c r="B13" s="563">
        <v>42917</v>
      </c>
      <c r="C13" s="365" t="s">
        <v>572</v>
      </c>
    </row>
    <row r="14" spans="1:4" x14ac:dyDescent="0.2">
      <c r="B14" s="563">
        <v>42948</v>
      </c>
      <c r="C14" s="365" t="s">
        <v>572</v>
      </c>
    </row>
    <row r="15" spans="1:4" x14ac:dyDescent="0.2">
      <c r="B15" s="563">
        <v>42979</v>
      </c>
      <c r="C15" s="365" t="s">
        <v>572</v>
      </c>
    </row>
    <row r="16" spans="1:4" x14ac:dyDescent="0.2">
      <c r="B16" s="563">
        <v>43009</v>
      </c>
      <c r="D16" s="365" t="s">
        <v>573</v>
      </c>
    </row>
    <row r="17" spans="1:4" x14ac:dyDescent="0.2">
      <c r="B17" s="563">
        <v>43040</v>
      </c>
      <c r="D17" s="365" t="s">
        <v>573</v>
      </c>
    </row>
    <row r="18" spans="1:4" x14ac:dyDescent="0.2">
      <c r="B18" s="563">
        <v>43070</v>
      </c>
      <c r="D18" s="365" t="s">
        <v>573</v>
      </c>
    </row>
    <row r="19" spans="1:4" x14ac:dyDescent="0.2">
      <c r="A19" s="365" t="s">
        <v>574</v>
      </c>
      <c r="B19" s="563">
        <v>43101</v>
      </c>
      <c r="D19" s="687" t="s">
        <v>573</v>
      </c>
    </row>
    <row r="20" spans="1:4" x14ac:dyDescent="0.2">
      <c r="B20" s="563">
        <v>43132</v>
      </c>
      <c r="D20" s="687" t="s">
        <v>573</v>
      </c>
    </row>
    <row r="21" spans="1:4" x14ac:dyDescent="0.2">
      <c r="B21" s="563">
        <v>43160</v>
      </c>
      <c r="D21" s="687" t="s">
        <v>573</v>
      </c>
    </row>
    <row r="22" spans="1:4" x14ac:dyDescent="0.2">
      <c r="B22" s="563">
        <v>43191</v>
      </c>
      <c r="D22" s="687" t="s">
        <v>573</v>
      </c>
    </row>
    <row r="23" spans="1:4" x14ac:dyDescent="0.2">
      <c r="B23" s="563">
        <v>43221</v>
      </c>
      <c r="D23" s="687" t="s">
        <v>573</v>
      </c>
    </row>
    <row r="24" spans="1:4" x14ac:dyDescent="0.2">
      <c r="B24" s="563">
        <v>43252</v>
      </c>
      <c r="D24" s="687" t="s">
        <v>573</v>
      </c>
    </row>
    <row r="25" spans="1:4" x14ac:dyDescent="0.2">
      <c r="B25" s="563">
        <v>43282</v>
      </c>
      <c r="D25" s="687" t="s">
        <v>573</v>
      </c>
    </row>
    <row r="26" spans="1:4" x14ac:dyDescent="0.2">
      <c r="B26" s="563">
        <v>43313</v>
      </c>
      <c r="D26" s="687" t="s">
        <v>573</v>
      </c>
    </row>
    <row r="27" spans="1:4" x14ac:dyDescent="0.2">
      <c r="B27" s="563">
        <v>43344</v>
      </c>
      <c r="D27" s="687" t="s">
        <v>573</v>
      </c>
    </row>
    <row r="28" spans="1:4" x14ac:dyDescent="0.2">
      <c r="B28" s="563">
        <v>43374</v>
      </c>
      <c r="D28" s="687" t="s">
        <v>573</v>
      </c>
    </row>
    <row r="29" spans="1:4" x14ac:dyDescent="0.2">
      <c r="B29" s="563">
        <v>43405</v>
      </c>
      <c r="D29" s="687" t="s">
        <v>573</v>
      </c>
    </row>
    <row r="30" spans="1:4" x14ac:dyDescent="0.2">
      <c r="B30" s="563">
        <v>43435</v>
      </c>
      <c r="D30" s="687" t="s">
        <v>573</v>
      </c>
    </row>
    <row r="31" spans="1:4" x14ac:dyDescent="0.2">
      <c r="B31" s="563">
        <v>43466</v>
      </c>
      <c r="D31" s="687" t="s">
        <v>573</v>
      </c>
    </row>
    <row r="32" spans="1:4" x14ac:dyDescent="0.2">
      <c r="B32" s="563">
        <v>43497</v>
      </c>
      <c r="D32" s="687" t="s">
        <v>573</v>
      </c>
    </row>
    <row r="33" spans="1:4" x14ac:dyDescent="0.2">
      <c r="B33" s="563">
        <v>43525</v>
      </c>
      <c r="D33" s="687" t="s">
        <v>573</v>
      </c>
    </row>
    <row r="34" spans="1:4" x14ac:dyDescent="0.2">
      <c r="B34" s="563">
        <v>43556</v>
      </c>
      <c r="D34" s="687" t="s">
        <v>573</v>
      </c>
    </row>
    <row r="35" spans="1:4" x14ac:dyDescent="0.2">
      <c r="B35" s="563">
        <v>43586</v>
      </c>
      <c r="D35" s="687" t="s">
        <v>573</v>
      </c>
    </row>
    <row r="36" spans="1:4" x14ac:dyDescent="0.2">
      <c r="B36" s="563">
        <v>43617</v>
      </c>
      <c r="D36" s="687" t="s">
        <v>573</v>
      </c>
    </row>
    <row r="37" spans="1:4" x14ac:dyDescent="0.2">
      <c r="B37" s="563">
        <v>43647</v>
      </c>
      <c r="D37" s="687" t="s">
        <v>573</v>
      </c>
    </row>
    <row r="38" spans="1:4" x14ac:dyDescent="0.2">
      <c r="B38" s="563">
        <v>43678</v>
      </c>
      <c r="D38" s="687" t="s">
        <v>573</v>
      </c>
    </row>
    <row r="39" spans="1:4" x14ac:dyDescent="0.2">
      <c r="B39" s="563">
        <v>43709</v>
      </c>
      <c r="D39" s="687" t="s">
        <v>573</v>
      </c>
    </row>
    <row r="40" spans="1:4" x14ac:dyDescent="0.2">
      <c r="B40" s="563">
        <v>43739</v>
      </c>
      <c r="D40" s="687" t="s">
        <v>573</v>
      </c>
    </row>
    <row r="41" spans="1:4" x14ac:dyDescent="0.2">
      <c r="A41" s="365" t="s">
        <v>16</v>
      </c>
      <c r="B41" s="563">
        <v>43770</v>
      </c>
      <c r="D41" s="687" t="s">
        <v>573</v>
      </c>
    </row>
    <row r="42" spans="1:4" x14ac:dyDescent="0.2">
      <c r="A42" s="365" t="s">
        <v>575</v>
      </c>
      <c r="B42" s="563">
        <v>43800</v>
      </c>
      <c r="D42" s="688" t="s">
        <v>573</v>
      </c>
    </row>
    <row r="43" spans="1:4" x14ac:dyDescent="0.2">
      <c r="B43" s="563">
        <v>43831</v>
      </c>
      <c r="D43" s="365" t="s">
        <v>573</v>
      </c>
    </row>
    <row r="44" spans="1:4" x14ac:dyDescent="0.2">
      <c r="B44" s="563">
        <v>43862</v>
      </c>
      <c r="D44" s="365" t="s">
        <v>573</v>
      </c>
    </row>
    <row r="45" spans="1:4" x14ac:dyDescent="0.2">
      <c r="B45" s="563">
        <v>43891</v>
      </c>
      <c r="D45" s="365" t="s">
        <v>573</v>
      </c>
    </row>
    <row r="46" spans="1:4" x14ac:dyDescent="0.2">
      <c r="B46" s="563">
        <v>43922</v>
      </c>
    </row>
    <row r="47" spans="1:4" x14ac:dyDescent="0.2">
      <c r="B47" s="563">
        <v>43952</v>
      </c>
    </row>
    <row r="48" spans="1:4" x14ac:dyDescent="0.2">
      <c r="B48" s="563">
        <v>43983</v>
      </c>
    </row>
  </sheetData>
  <sheetProtection password="F3B1" sheet="1" objects="1" scenarios="1"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2.75" x14ac:dyDescent="0.2"/>
  <cols>
    <col min="1" max="1" width="25.28515625" bestFit="1" customWidth="1"/>
    <col min="2" max="2" width="10.140625" bestFit="1" customWidth="1"/>
  </cols>
  <sheetData>
    <row r="1" spans="1:2" x14ac:dyDescent="0.2">
      <c r="A1" s="686">
        <v>42826</v>
      </c>
      <c r="B1" s="686">
        <f>EDATE(A1,37)</f>
        <v>43952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365" t="s">
        <v>209</v>
      </c>
    </row>
    <row r="2" spans="1:1" x14ac:dyDescent="0.2">
      <c r="A2" s="365" t="s">
        <v>210</v>
      </c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365" t="s">
        <v>209</v>
      </c>
    </row>
    <row r="2" spans="1:1" x14ac:dyDescent="0.2">
      <c r="A2" s="365" t="s">
        <v>210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tabColor indexed="10"/>
  </sheetPr>
  <dimension ref="A1:Y50"/>
  <sheetViews>
    <sheetView workbookViewId="0">
      <selection activeCell="C18" sqref="C18"/>
    </sheetView>
  </sheetViews>
  <sheetFormatPr defaultRowHeight="12.75" x14ac:dyDescent="0.2"/>
  <cols>
    <col min="1" max="1" width="10.42578125" bestFit="1" customWidth="1"/>
    <col min="2" max="2" width="17" customWidth="1"/>
    <col min="3" max="3" width="22.5703125" customWidth="1"/>
    <col min="4" max="4" width="17.28515625" customWidth="1"/>
    <col min="5" max="5" width="17" customWidth="1"/>
    <col min="6" max="6" width="9.140625" style="361"/>
    <col min="7" max="7" width="15.5703125" customWidth="1"/>
    <col min="8" max="8" width="21.85546875" customWidth="1"/>
    <col min="9" max="9" width="13.5703125" customWidth="1"/>
    <col min="10" max="10" width="13.85546875" customWidth="1"/>
    <col min="12" max="12" width="14.42578125" customWidth="1"/>
    <col min="13" max="13" width="22.7109375" customWidth="1"/>
    <col min="14" max="14" width="13.85546875" customWidth="1"/>
    <col min="15" max="15" width="13.28515625" customWidth="1"/>
    <col min="17" max="17" width="13.140625" customWidth="1"/>
    <col min="18" max="18" width="20.28515625" customWidth="1"/>
    <col min="19" max="20" width="13.140625" customWidth="1"/>
    <col min="22" max="25" width="15.7109375" customWidth="1"/>
  </cols>
  <sheetData>
    <row r="1" spans="1:25" x14ac:dyDescent="0.2">
      <c r="B1" s="713" t="str">
        <f>+'DADOS DOS EMPREENDIMENTOS'!O4</f>
        <v>Rocha</v>
      </c>
      <c r="C1" s="720"/>
      <c r="D1" s="720"/>
      <c r="E1" s="720"/>
      <c r="G1" s="713" t="str">
        <f>+'DADOS DOS EMPREENDIMENTOS'!T4</f>
        <v>DEZ VISTA ALEGRE - BLOCOS 1 e 2</v>
      </c>
      <c r="H1" s="714"/>
      <c r="I1" s="714"/>
      <c r="J1" s="714"/>
      <c r="L1" s="711">
        <f>+'DADOS DOS EMPREENDIMENTOS'!Y4</f>
        <v>0</v>
      </c>
      <c r="M1" s="712"/>
      <c r="N1" s="712"/>
      <c r="O1" s="712"/>
      <c r="Q1" s="711">
        <f>+'DADOS DOS EMPREENDIMENTOS'!AD4</f>
        <v>0</v>
      </c>
      <c r="R1" s="712"/>
      <c r="S1" s="712"/>
      <c r="T1" s="712"/>
      <c r="V1" s="713">
        <f>+'DADOS DOS EMPREENDIMENTOS'!AI4</f>
        <v>0</v>
      </c>
      <c r="W1" s="714"/>
      <c r="X1" s="714"/>
      <c r="Y1" s="714"/>
    </row>
    <row r="2" spans="1:25" s="366" customFormat="1" ht="45" customHeight="1" x14ac:dyDescent="0.2">
      <c r="B2" s="368" t="str">
        <f>CONCATENATE($B$1,B3)</f>
        <v>RochaMÊS DE INÍCIO</v>
      </c>
      <c r="C2" s="368" t="str">
        <f>CONCATENATE($B$1,C3)</f>
        <v>RochaQTDE PARCELAS</v>
      </c>
      <c r="D2" s="368" t="str">
        <f>CONCATENATE($B$1,D3)</f>
        <v>Rocha% FLUXO</v>
      </c>
      <c r="E2" s="368" t="str">
        <f>CONCATENATE($B$1,E3)</f>
        <v>RochaTOTAL</v>
      </c>
      <c r="F2" s="367"/>
      <c r="G2" s="368" t="str">
        <f>CONCATENATE($G$1,G3)</f>
        <v>DEZ VISTA ALEGRE - BLOCOS 1 e 2MÊS DE INÍCIO</v>
      </c>
      <c r="H2" s="368" t="str">
        <f>CONCATENATE($G$1,H3)</f>
        <v>DEZ VISTA ALEGRE - BLOCOS 1 e 2QTDE PARCELAS</v>
      </c>
      <c r="I2" s="368" t="str">
        <f>CONCATENATE($G$1,I3)</f>
        <v>DEZ VISTA ALEGRE - BLOCOS 1 e 2% FLUXO</v>
      </c>
      <c r="J2" s="368" t="str">
        <f>CONCATENATE($G$1,J3)</f>
        <v>DEZ VISTA ALEGRE - BLOCOS 1 e 2TOTAL</v>
      </c>
      <c r="L2" s="368" t="str">
        <f>CONCATENATE($L$1,L3)</f>
        <v>0MÊS DE INÍCIO</v>
      </c>
      <c r="M2" s="368" t="str">
        <f>CONCATENATE($L$1,M3)</f>
        <v>0QTDE PARCELAS</v>
      </c>
      <c r="N2" s="368" t="str">
        <f>CONCATENATE($L$1,N3)</f>
        <v>0% FLUXO</v>
      </c>
      <c r="O2" s="368" t="str">
        <f>CONCATENATE($L$1,O3)</f>
        <v>0TOTAL</v>
      </c>
      <c r="Q2" s="368" t="str">
        <f>CONCATENATE($Q$1,Q3)</f>
        <v>0MÊS DE INÍCIO</v>
      </c>
      <c r="R2" s="368" t="str">
        <f>CONCATENATE($Q$1,R3)</f>
        <v>0QTDE PARCELAS</v>
      </c>
      <c r="S2" s="368" t="str">
        <f>CONCATENATE($Q$1,S3)</f>
        <v>0% FLUXO</v>
      </c>
      <c r="T2" s="368" t="str">
        <f>CONCATENATE($Q$1,T3)</f>
        <v>0TOTAL</v>
      </c>
      <c r="V2" s="368" t="str">
        <f>CONCATENATE($V$1,V3)</f>
        <v>0MÊS DE INÍCIO</v>
      </c>
      <c r="W2" s="368" t="str">
        <f>CONCATENATE($V$1,W3)</f>
        <v>0QTDE PARCELAS</v>
      </c>
      <c r="X2" s="368" t="str">
        <f>CONCATENATE($V$1,X3)</f>
        <v>0% FLUXO</v>
      </c>
      <c r="Y2" s="368" t="str">
        <f>CONCATENATE($V$1,Y3)</f>
        <v>0TOTAL</v>
      </c>
    </row>
    <row r="3" spans="1:25" s="362" customFormat="1" ht="31.5" x14ac:dyDescent="0.2">
      <c r="B3" s="363" t="s">
        <v>195</v>
      </c>
      <c r="C3" s="363" t="s">
        <v>187</v>
      </c>
      <c r="D3" s="363" t="s">
        <v>275</v>
      </c>
      <c r="E3" s="363" t="s">
        <v>69</v>
      </c>
      <c r="F3" s="364"/>
      <c r="G3" s="363" t="s">
        <v>195</v>
      </c>
      <c r="H3" s="363" t="s">
        <v>187</v>
      </c>
      <c r="I3" s="363" t="s">
        <v>275</v>
      </c>
      <c r="J3" s="363" t="s">
        <v>69</v>
      </c>
      <c r="K3" s="364"/>
      <c r="L3" s="363" t="s">
        <v>195</v>
      </c>
      <c r="M3" s="363" t="s">
        <v>187</v>
      </c>
      <c r="N3" s="363" t="s">
        <v>275</v>
      </c>
      <c r="O3" s="363" t="s">
        <v>69</v>
      </c>
      <c r="Q3" s="363" t="s">
        <v>195</v>
      </c>
      <c r="R3" s="363" t="s">
        <v>187</v>
      </c>
      <c r="S3" s="363" t="s">
        <v>275</v>
      </c>
      <c r="T3" s="363" t="s">
        <v>69</v>
      </c>
      <c r="V3" s="363" t="s">
        <v>195</v>
      </c>
      <c r="W3" s="363" t="s">
        <v>187</v>
      </c>
      <c r="X3" s="363" t="s">
        <v>275</v>
      </c>
      <c r="Y3" s="363" t="s">
        <v>69</v>
      </c>
    </row>
    <row r="4" spans="1:25" x14ac:dyDescent="0.2">
      <c r="A4" s="598" t="s">
        <v>185</v>
      </c>
      <c r="B4" s="598">
        <v>0</v>
      </c>
      <c r="C4" s="598">
        <v>1</v>
      </c>
      <c r="D4" s="607">
        <v>0.01</v>
      </c>
      <c r="E4" s="715" t="s">
        <v>185</v>
      </c>
      <c r="G4" s="598">
        <f>B4</f>
        <v>0</v>
      </c>
      <c r="H4" s="598">
        <v>1</v>
      </c>
      <c r="I4" s="593">
        <f>D4</f>
        <v>0.01</v>
      </c>
      <c r="J4" s="715" t="s">
        <v>185</v>
      </c>
      <c r="L4" s="360"/>
      <c r="M4" s="360"/>
      <c r="N4" s="383"/>
      <c r="O4" s="360"/>
      <c r="Q4" s="360"/>
      <c r="R4" s="360"/>
      <c r="S4" s="383"/>
      <c r="T4" s="360"/>
      <c r="V4" s="360"/>
      <c r="W4" s="360"/>
      <c r="X4" s="383"/>
      <c r="Y4" s="360"/>
    </row>
    <row r="5" spans="1:25" x14ac:dyDescent="0.2">
      <c r="A5" s="598" t="s">
        <v>185</v>
      </c>
      <c r="B5" s="598">
        <v>1</v>
      </c>
      <c r="C5" s="598">
        <v>1</v>
      </c>
      <c r="D5" s="599">
        <v>0.01</v>
      </c>
      <c r="E5" s="716"/>
      <c r="G5" s="598">
        <f t="shared" ref="G5:G12" si="0">B5</f>
        <v>1</v>
      </c>
      <c r="H5" s="598">
        <v>1</v>
      </c>
      <c r="I5" s="593">
        <f t="shared" ref="I5:I12" si="1">D5</f>
        <v>0.01</v>
      </c>
      <c r="J5" s="716"/>
      <c r="L5" s="360"/>
      <c r="M5" s="360"/>
      <c r="N5" s="383"/>
      <c r="O5" s="360"/>
      <c r="Q5" s="360"/>
      <c r="R5" s="360"/>
      <c r="S5" s="383"/>
      <c r="T5" s="360"/>
      <c r="V5" s="360"/>
      <c r="W5" s="360"/>
      <c r="X5" s="383"/>
      <c r="Y5" s="360"/>
    </row>
    <row r="6" spans="1:25" x14ac:dyDescent="0.2">
      <c r="A6" s="598" t="s">
        <v>185</v>
      </c>
      <c r="B6" s="598">
        <v>2</v>
      </c>
      <c r="C6" s="598">
        <v>3</v>
      </c>
      <c r="D6" s="599">
        <v>0.03</v>
      </c>
      <c r="E6" s="717"/>
      <c r="G6" s="598">
        <f t="shared" si="0"/>
        <v>2</v>
      </c>
      <c r="H6" s="598">
        <v>3</v>
      </c>
      <c r="I6" s="593">
        <f t="shared" si="1"/>
        <v>0.03</v>
      </c>
      <c r="J6" s="717"/>
      <c r="L6" s="360"/>
      <c r="M6" s="360"/>
      <c r="N6" s="383"/>
      <c r="O6" s="360"/>
      <c r="Q6" s="360"/>
      <c r="R6" s="360"/>
      <c r="S6" s="383"/>
      <c r="T6" s="360"/>
      <c r="V6" s="360"/>
      <c r="W6" s="360"/>
      <c r="X6" s="383"/>
      <c r="Y6" s="360"/>
    </row>
    <row r="7" spans="1:25" s="416" customFormat="1" x14ac:dyDescent="0.2">
      <c r="A7" s="595" t="s">
        <v>36</v>
      </c>
      <c r="B7" s="597">
        <v>0</v>
      </c>
      <c r="C7" s="595">
        <v>2</v>
      </c>
      <c r="D7" s="617">
        <v>0</v>
      </c>
      <c r="E7" s="618" t="s">
        <v>297</v>
      </c>
      <c r="F7" s="601"/>
      <c r="G7" s="597">
        <f t="shared" si="0"/>
        <v>0</v>
      </c>
      <c r="H7" s="595">
        <v>3</v>
      </c>
      <c r="I7" s="593">
        <f t="shared" si="1"/>
        <v>0</v>
      </c>
      <c r="J7" s="618" t="s">
        <v>297</v>
      </c>
      <c r="L7" s="360"/>
      <c r="M7" s="360"/>
      <c r="N7" s="383"/>
      <c r="O7" s="417"/>
      <c r="Q7" s="360"/>
      <c r="R7" s="360"/>
      <c r="S7" s="383"/>
      <c r="T7" s="417"/>
      <c r="V7" s="417"/>
      <c r="W7" s="417"/>
      <c r="X7" s="418"/>
      <c r="Y7" s="417"/>
    </row>
    <row r="8" spans="1:25" s="416" customFormat="1" x14ac:dyDescent="0.2">
      <c r="A8" s="417" t="s">
        <v>283</v>
      </c>
      <c r="B8" s="596">
        <v>0</v>
      </c>
      <c r="C8" s="417">
        <v>0</v>
      </c>
      <c r="D8" s="418">
        <v>0</v>
      </c>
      <c r="E8" s="600" t="s">
        <v>296</v>
      </c>
      <c r="F8" s="601"/>
      <c r="G8" s="596">
        <f t="shared" si="0"/>
        <v>0</v>
      </c>
      <c r="H8" s="417">
        <v>1</v>
      </c>
      <c r="I8" s="593">
        <f t="shared" si="1"/>
        <v>0</v>
      </c>
      <c r="J8" s="600" t="s">
        <v>296</v>
      </c>
      <c r="L8" s="360"/>
      <c r="M8" s="360"/>
      <c r="N8" s="383"/>
      <c r="O8" s="417"/>
      <c r="Q8" s="360"/>
      <c r="R8" s="360"/>
      <c r="S8" s="383"/>
      <c r="T8" s="417"/>
      <c r="V8" s="417"/>
      <c r="W8" s="417"/>
      <c r="X8" s="418"/>
      <c r="Y8" s="417"/>
    </row>
    <row r="9" spans="1:25" x14ac:dyDescent="0.2">
      <c r="A9" s="595" t="s">
        <v>284</v>
      </c>
      <c r="B9" s="597">
        <v>5</v>
      </c>
      <c r="C9" s="695">
        <v>1</v>
      </c>
      <c r="D9" s="632">
        <v>0.14899999999999999</v>
      </c>
      <c r="E9" s="718" t="s">
        <v>297</v>
      </c>
      <c r="G9" s="597">
        <f t="shared" si="0"/>
        <v>5</v>
      </c>
      <c r="H9" s="597">
        <v>34</v>
      </c>
      <c r="I9" s="593">
        <f t="shared" si="1"/>
        <v>0.14899999999999999</v>
      </c>
      <c r="J9" s="718" t="s">
        <v>297</v>
      </c>
      <c r="L9" s="360"/>
      <c r="M9" s="360"/>
      <c r="N9" s="383"/>
      <c r="O9" s="360"/>
      <c r="Q9" s="360"/>
      <c r="R9" s="360"/>
      <c r="S9" s="383"/>
      <c r="T9" s="360"/>
      <c r="V9" s="360"/>
      <c r="W9" s="360"/>
      <c r="X9" s="383"/>
      <c r="Y9" s="360"/>
    </row>
    <row r="10" spans="1:25" x14ac:dyDescent="0.2">
      <c r="A10" s="595" t="s">
        <v>41</v>
      </c>
      <c r="B10" s="597">
        <v>36</v>
      </c>
      <c r="C10" s="597">
        <v>1</v>
      </c>
      <c r="D10" s="602">
        <v>1E-3</v>
      </c>
      <c r="E10" s="719"/>
      <c r="G10" s="597">
        <f t="shared" si="0"/>
        <v>36</v>
      </c>
      <c r="H10" s="597">
        <v>1</v>
      </c>
      <c r="I10" s="593">
        <f t="shared" si="1"/>
        <v>1E-3</v>
      </c>
      <c r="J10" s="719"/>
      <c r="L10" s="360"/>
      <c r="M10" s="360"/>
      <c r="N10" s="383"/>
      <c r="O10" s="360"/>
      <c r="Q10" s="360"/>
      <c r="R10" s="360"/>
      <c r="S10" s="383"/>
      <c r="T10" s="360"/>
      <c r="V10" s="360"/>
      <c r="W10" s="360"/>
      <c r="X10" s="383"/>
      <c r="Y10" s="360"/>
    </row>
    <row r="11" spans="1:25" x14ac:dyDescent="0.2">
      <c r="A11" s="596" t="s">
        <v>18</v>
      </c>
      <c r="B11" s="596">
        <v>5</v>
      </c>
      <c r="C11" s="596">
        <v>1</v>
      </c>
      <c r="D11" s="603">
        <v>0.8</v>
      </c>
      <c r="E11" s="600" t="s">
        <v>18</v>
      </c>
      <c r="G11" s="596">
        <f t="shared" si="0"/>
        <v>5</v>
      </c>
      <c r="H11" s="596">
        <v>1</v>
      </c>
      <c r="I11" s="593">
        <f t="shared" si="1"/>
        <v>0.8</v>
      </c>
      <c r="J11" s="600" t="s">
        <v>18</v>
      </c>
      <c r="L11" s="360"/>
      <c r="M11" s="360"/>
      <c r="N11" s="383"/>
      <c r="O11" s="360"/>
      <c r="Q11" s="360"/>
      <c r="R11" s="360"/>
      <c r="S11" s="383"/>
      <c r="T11" s="360"/>
      <c r="V11" s="360"/>
      <c r="W11" s="360"/>
      <c r="X11" s="383"/>
      <c r="Y11" s="360"/>
    </row>
    <row r="12" spans="1:25" x14ac:dyDescent="0.2">
      <c r="B12" s="360">
        <v>0</v>
      </c>
      <c r="C12" s="360">
        <v>0</v>
      </c>
      <c r="D12" s="373">
        <v>0</v>
      </c>
      <c r="E12" s="360"/>
      <c r="G12" s="598">
        <f t="shared" si="0"/>
        <v>0</v>
      </c>
      <c r="H12" s="360">
        <f>C12</f>
        <v>0</v>
      </c>
      <c r="I12" s="593">
        <f t="shared" si="1"/>
        <v>0</v>
      </c>
      <c r="J12" s="360"/>
      <c r="L12" s="360"/>
      <c r="M12" s="360"/>
      <c r="N12" s="383"/>
      <c r="O12" s="360"/>
      <c r="Q12" s="360"/>
      <c r="R12" s="360"/>
      <c r="S12" s="373"/>
      <c r="T12" s="360"/>
      <c r="V12" s="360"/>
      <c r="W12" s="360"/>
      <c r="X12" s="373"/>
      <c r="Y12" s="360"/>
    </row>
    <row r="13" spans="1:25" x14ac:dyDescent="0.2">
      <c r="B13" s="360">
        <v>0</v>
      </c>
      <c r="C13" s="360">
        <v>0</v>
      </c>
      <c r="D13" s="373">
        <v>0</v>
      </c>
      <c r="E13" s="360"/>
      <c r="G13" s="360"/>
      <c r="H13" s="360"/>
      <c r="I13" s="383"/>
      <c r="J13" s="360"/>
      <c r="L13" s="360"/>
      <c r="M13" s="360"/>
      <c r="N13" s="383"/>
      <c r="O13" s="360"/>
      <c r="Q13" s="360"/>
      <c r="R13" s="360"/>
      <c r="S13" s="373"/>
      <c r="T13" s="360"/>
      <c r="V13" s="360"/>
      <c r="W13" s="360"/>
      <c r="X13" s="373"/>
      <c r="Y13" s="360"/>
    </row>
    <row r="14" spans="1:25" x14ac:dyDescent="0.2">
      <c r="D14" s="409">
        <f>SUM(D4:D13)</f>
        <v>1</v>
      </c>
      <c r="I14" s="535">
        <f>SUM(I4:I13)</f>
        <v>1</v>
      </c>
      <c r="N14" s="411">
        <f>SUM(N4:N13)</f>
        <v>0</v>
      </c>
      <c r="S14" s="411"/>
      <c r="X14" s="419"/>
    </row>
    <row r="15" spans="1:25" x14ac:dyDescent="0.2">
      <c r="F15" s="361">
        <f>6+8</f>
        <v>14</v>
      </c>
      <c r="H15">
        <v>8</v>
      </c>
    </row>
    <row r="16" spans="1:25" x14ac:dyDescent="0.2">
      <c r="A16" s="686">
        <v>42917</v>
      </c>
      <c r="D16" s="407"/>
      <c r="E16" s="369"/>
      <c r="I16" s="407"/>
      <c r="J16" s="369"/>
      <c r="N16" s="407"/>
      <c r="O16" s="369"/>
      <c r="S16" s="407"/>
      <c r="T16" s="369"/>
      <c r="X16" s="407"/>
      <c r="Y16" s="369"/>
    </row>
    <row r="17" spans="1:25" x14ac:dyDescent="0.2">
      <c r="A17" s="686">
        <f>EDATE(A16,30)</f>
        <v>43831</v>
      </c>
      <c r="C17">
        <f>5.6%/5</f>
        <v>1.1199999999999998E-2</v>
      </c>
      <c r="D17" s="407"/>
      <c r="F17" s="418">
        <f t="shared" ref="F17:F22" si="2">5.5%/29</f>
        <v>1.8965517241379311E-3</v>
      </c>
      <c r="G17" s="418"/>
      <c r="H17">
        <f>7%/28</f>
        <v>2.5000000000000001E-3</v>
      </c>
      <c r="I17" s="407"/>
      <c r="J17" s="620">
        <f>9.3%/27</f>
        <v>3.4444444444444449E-3</v>
      </c>
      <c r="N17" s="407"/>
      <c r="S17" s="407"/>
      <c r="X17" s="407"/>
    </row>
    <row r="18" spans="1:25" x14ac:dyDescent="0.2">
      <c r="C18">
        <v>3</v>
      </c>
      <c r="D18" s="408">
        <v>2.90625E-3</v>
      </c>
      <c r="E18" s="619">
        <f>SUM(F17:F18)</f>
        <v>3.7931034482758621E-3</v>
      </c>
      <c r="F18" s="418">
        <f t="shared" si="2"/>
        <v>1.8965517241379311E-3</v>
      </c>
      <c r="G18" s="418">
        <f>9.3%/32</f>
        <v>2.9062500000000004E-3</v>
      </c>
      <c r="I18" s="408"/>
      <c r="J18" s="408"/>
      <c r="N18" s="408"/>
      <c r="O18" s="365"/>
      <c r="S18" s="408"/>
      <c r="T18" s="365"/>
      <c r="X18" s="408"/>
      <c r="Y18" s="365"/>
    </row>
    <row r="19" spans="1:25" x14ac:dyDescent="0.2">
      <c r="C19" s="631">
        <v>3.3599999999999991E-2</v>
      </c>
      <c r="D19" s="408">
        <v>2.90625E-3</v>
      </c>
      <c r="F19" s="418">
        <f t="shared" si="2"/>
        <v>1.8965517241379311E-3</v>
      </c>
      <c r="G19" s="418">
        <f t="shared" ref="G19:G44" si="3">5.5%/28</f>
        <v>1.9642857142857144E-3</v>
      </c>
      <c r="H19" s="621">
        <f>9.3%/27</f>
        <v>3.4444444444444449E-3</v>
      </c>
      <c r="I19" s="622">
        <f>H19*C9</f>
        <v>3.4444444444444449E-3</v>
      </c>
      <c r="L19" s="563"/>
      <c r="N19" s="408"/>
      <c r="S19" s="408"/>
      <c r="X19" s="408"/>
    </row>
    <row r="20" spans="1:25" x14ac:dyDescent="0.2">
      <c r="D20" s="408">
        <v>2.90625E-3</v>
      </c>
      <c r="F20" s="418">
        <f t="shared" si="2"/>
        <v>1.8965517241379311E-3</v>
      </c>
      <c r="G20" s="418">
        <f t="shared" si="3"/>
        <v>1.9642857142857144E-3</v>
      </c>
      <c r="L20" s="563"/>
    </row>
    <row r="21" spans="1:25" x14ac:dyDescent="0.2">
      <c r="B21" s="365"/>
      <c r="D21" s="408">
        <v>2.90625E-3</v>
      </c>
      <c r="F21" s="418">
        <f t="shared" si="2"/>
        <v>1.8965517241379311E-3</v>
      </c>
      <c r="G21" s="418">
        <f t="shared" si="3"/>
        <v>1.9642857142857144E-3</v>
      </c>
      <c r="L21" s="563"/>
    </row>
    <row r="22" spans="1:25" x14ac:dyDescent="0.2">
      <c r="D22" s="408">
        <v>2.90625E-3</v>
      </c>
      <c r="F22" s="418">
        <f t="shared" si="2"/>
        <v>1.8965517241379311E-3</v>
      </c>
      <c r="G22" s="418">
        <f t="shared" si="3"/>
        <v>1.9642857142857144E-3</v>
      </c>
      <c r="L22" s="563"/>
    </row>
    <row r="23" spans="1:25" x14ac:dyDescent="0.2">
      <c r="D23" s="408">
        <v>2.90625E-3</v>
      </c>
      <c r="F23" s="608">
        <f>SUM(F17:F22)</f>
        <v>1.1379310344827587E-2</v>
      </c>
      <c r="G23" s="418">
        <f t="shared" si="3"/>
        <v>1.9642857142857144E-3</v>
      </c>
      <c r="L23" s="563"/>
    </row>
    <row r="24" spans="1:25" x14ac:dyDescent="0.2">
      <c r="D24" s="408">
        <v>2.90625E-3</v>
      </c>
      <c r="G24" s="418">
        <f t="shared" si="3"/>
        <v>1.9642857142857144E-3</v>
      </c>
      <c r="L24" s="563"/>
    </row>
    <row r="25" spans="1:25" x14ac:dyDescent="0.2">
      <c r="D25" s="408">
        <v>2.90625E-3</v>
      </c>
      <c r="G25" s="418">
        <f t="shared" si="3"/>
        <v>1.9642857142857144E-3</v>
      </c>
      <c r="L25" s="563"/>
    </row>
    <row r="26" spans="1:25" x14ac:dyDescent="0.2">
      <c r="D26" s="408">
        <v>2.90625E-3</v>
      </c>
      <c r="G26" s="418">
        <f t="shared" si="3"/>
        <v>1.9642857142857144E-3</v>
      </c>
      <c r="L26" s="563"/>
    </row>
    <row r="27" spans="1:25" x14ac:dyDescent="0.2">
      <c r="D27" s="408">
        <v>2.90625E-3</v>
      </c>
      <c r="G27" s="418">
        <f t="shared" si="3"/>
        <v>1.9642857142857144E-3</v>
      </c>
      <c r="L27" s="563"/>
    </row>
    <row r="28" spans="1:25" x14ac:dyDescent="0.2">
      <c r="D28" s="408">
        <v>2.90625E-3</v>
      </c>
      <c r="G28" s="418">
        <f t="shared" si="3"/>
        <v>1.9642857142857144E-3</v>
      </c>
      <c r="L28" s="563"/>
    </row>
    <row r="29" spans="1:25" x14ac:dyDescent="0.2">
      <c r="D29" s="408">
        <v>2.90625E-3</v>
      </c>
      <c r="G29" s="418">
        <f t="shared" si="3"/>
        <v>1.9642857142857144E-3</v>
      </c>
      <c r="L29" s="563"/>
    </row>
    <row r="30" spans="1:25" x14ac:dyDescent="0.2">
      <c r="D30" s="408">
        <v>2.90625E-3</v>
      </c>
      <c r="G30" s="418">
        <f t="shared" si="3"/>
        <v>1.9642857142857144E-3</v>
      </c>
      <c r="L30" s="563"/>
    </row>
    <row r="31" spans="1:25" x14ac:dyDescent="0.2">
      <c r="D31" s="408">
        <v>2.90625E-3</v>
      </c>
      <c r="G31" s="418">
        <f t="shared" si="3"/>
        <v>1.9642857142857144E-3</v>
      </c>
      <c r="L31" s="563"/>
    </row>
    <row r="32" spans="1:25" x14ac:dyDescent="0.2">
      <c r="D32" s="408">
        <v>2.90625E-3</v>
      </c>
      <c r="G32" s="418">
        <f t="shared" si="3"/>
        <v>1.9642857142857144E-3</v>
      </c>
      <c r="L32" s="563"/>
    </row>
    <row r="33" spans="4:12" x14ac:dyDescent="0.2">
      <c r="D33" s="408">
        <v>2.90625E-3</v>
      </c>
      <c r="G33" s="418">
        <f t="shared" si="3"/>
        <v>1.9642857142857144E-3</v>
      </c>
      <c r="L33" s="563"/>
    </row>
    <row r="34" spans="4:12" x14ac:dyDescent="0.2">
      <c r="D34" s="408">
        <v>2.90625E-3</v>
      </c>
      <c r="G34" s="418">
        <f t="shared" si="3"/>
        <v>1.9642857142857144E-3</v>
      </c>
      <c r="L34" s="563"/>
    </row>
    <row r="35" spans="4:12" x14ac:dyDescent="0.2">
      <c r="D35" s="408">
        <v>2.90625E-3</v>
      </c>
      <c r="G35" s="418">
        <f t="shared" si="3"/>
        <v>1.9642857142857144E-3</v>
      </c>
      <c r="L35" s="563"/>
    </row>
    <row r="36" spans="4:12" x14ac:dyDescent="0.2">
      <c r="D36" s="408">
        <v>2.90625E-3</v>
      </c>
      <c r="G36" s="418">
        <f t="shared" si="3"/>
        <v>1.9642857142857144E-3</v>
      </c>
      <c r="L36" s="563"/>
    </row>
    <row r="37" spans="4:12" x14ac:dyDescent="0.2">
      <c r="D37" s="408">
        <v>2.90625E-3</v>
      </c>
      <c r="G37" s="418">
        <f t="shared" si="3"/>
        <v>1.9642857142857144E-3</v>
      </c>
      <c r="L37" s="563"/>
    </row>
    <row r="38" spans="4:12" x14ac:dyDescent="0.2">
      <c r="D38" s="408">
        <v>2.90625E-3</v>
      </c>
      <c r="G38" s="418">
        <f t="shared" si="3"/>
        <v>1.9642857142857144E-3</v>
      </c>
      <c r="L38" s="563"/>
    </row>
    <row r="39" spans="4:12" x14ac:dyDescent="0.2">
      <c r="D39" s="408">
        <v>2.90625E-3</v>
      </c>
      <c r="G39" s="418">
        <f t="shared" si="3"/>
        <v>1.9642857142857144E-3</v>
      </c>
      <c r="L39" s="563"/>
    </row>
    <row r="40" spans="4:12" x14ac:dyDescent="0.2">
      <c r="D40" s="408">
        <v>2.90625E-3</v>
      </c>
      <c r="G40" s="418">
        <f t="shared" si="3"/>
        <v>1.9642857142857144E-3</v>
      </c>
      <c r="L40" s="563"/>
    </row>
    <row r="41" spans="4:12" x14ac:dyDescent="0.2">
      <c r="D41" s="408">
        <v>2.90625E-3</v>
      </c>
      <c r="G41" s="418">
        <f t="shared" si="3"/>
        <v>1.9642857142857144E-3</v>
      </c>
      <c r="L41" s="563"/>
    </row>
    <row r="42" spans="4:12" x14ac:dyDescent="0.2">
      <c r="D42" s="408">
        <v>2.90625E-3</v>
      </c>
      <c r="G42" s="418">
        <f t="shared" si="3"/>
        <v>1.9642857142857144E-3</v>
      </c>
      <c r="L42" s="563"/>
    </row>
    <row r="43" spans="4:12" x14ac:dyDescent="0.2">
      <c r="D43" s="408">
        <v>2.90625E-3</v>
      </c>
      <c r="G43" s="418">
        <f t="shared" si="3"/>
        <v>1.9642857142857144E-3</v>
      </c>
      <c r="L43" s="563"/>
    </row>
    <row r="44" spans="4:12" x14ac:dyDescent="0.2">
      <c r="D44" s="408">
        <v>2.90625E-3</v>
      </c>
      <c r="G44" s="418">
        <f t="shared" si="3"/>
        <v>1.9642857142857144E-3</v>
      </c>
      <c r="L44" s="563"/>
    </row>
    <row r="45" spans="4:12" x14ac:dyDescent="0.2">
      <c r="D45" s="408">
        <v>2.90625E-3</v>
      </c>
      <c r="G45" s="409">
        <f>SUM(G17:G44)</f>
        <v>5.3977678571428593E-2</v>
      </c>
      <c r="L45" s="563"/>
    </row>
    <row r="46" spans="4:12" x14ac:dyDescent="0.2">
      <c r="D46" s="408">
        <v>2.90625E-3</v>
      </c>
      <c r="L46" s="563"/>
    </row>
    <row r="47" spans="4:12" x14ac:dyDescent="0.2">
      <c r="D47" s="408">
        <v>2.90625E-3</v>
      </c>
      <c r="L47" s="563"/>
    </row>
    <row r="48" spans="4:12" x14ac:dyDescent="0.2">
      <c r="D48" s="408">
        <v>2.90625E-3</v>
      </c>
      <c r="L48" s="563"/>
    </row>
    <row r="49" spans="4:12" x14ac:dyDescent="0.2">
      <c r="L49" s="563"/>
    </row>
    <row r="50" spans="4:12" x14ac:dyDescent="0.2">
      <c r="D50" s="409">
        <v>9.0093749999999986E-2</v>
      </c>
    </row>
  </sheetData>
  <sheetProtection algorithmName="SHA-512" hashValue="M8POFtEk1+fZuKiytvXBa8ZZk2iXiWMFedIQpCPejJoRlHbCv+VVRZzAPkyIecokaZF/WAIMsmGUmi8NTYpJBg==" saltValue="jG4KdRH0vB5RvTCxLp3rcQ==" spinCount="100000" sheet="1" objects="1" scenarios="1"/>
  <mergeCells count="9">
    <mergeCell ref="Q1:T1"/>
    <mergeCell ref="V1:Y1"/>
    <mergeCell ref="E4:E6"/>
    <mergeCell ref="E9:E10"/>
    <mergeCell ref="G1:J1"/>
    <mergeCell ref="L1:O1"/>
    <mergeCell ref="B1:E1"/>
    <mergeCell ref="J4:J6"/>
    <mergeCell ref="J9:J10"/>
  </mergeCells>
  <phoneticPr fontId="54" type="noConversion"/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indexed="51"/>
    <pageSetUpPr fitToPage="1"/>
  </sheetPr>
  <dimension ref="A1:IV763"/>
  <sheetViews>
    <sheetView showGridLines="0" tabSelected="1" showOutlineSymbols="0" zoomScale="55" zoomScaleNormal="55" workbookViewId="0">
      <selection activeCell="C6" sqref="C6"/>
    </sheetView>
  </sheetViews>
  <sheetFormatPr defaultColWidth="9.140625" defaultRowHeight="12.75" x14ac:dyDescent="0.2"/>
  <cols>
    <col min="1" max="1" width="3.42578125" style="89" customWidth="1"/>
    <col min="2" max="2" width="8.140625" style="89" customWidth="1"/>
    <col min="3" max="3" width="35.5703125" style="89" customWidth="1"/>
    <col min="4" max="4" width="17.5703125" style="89" bestFit="1" customWidth="1"/>
    <col min="5" max="5" width="11.28515625" style="89" customWidth="1"/>
    <col min="6" max="6" width="22.5703125" style="89" bestFit="1" customWidth="1"/>
    <col min="7" max="7" width="31.5703125" style="89" customWidth="1"/>
    <col min="8" max="8" width="2" style="89" customWidth="1"/>
    <col min="9" max="9" width="22.5703125" style="89" customWidth="1"/>
    <col min="10" max="10" width="12.5703125" style="89" customWidth="1"/>
    <col min="11" max="11" width="14" style="89" customWidth="1"/>
    <col min="12" max="12" width="20.5703125" style="89" customWidth="1"/>
    <col min="13" max="13" width="17.42578125" style="89" customWidth="1"/>
    <col min="14" max="14" width="6.85546875" style="89" customWidth="1"/>
    <col min="15" max="15" width="9.28515625" style="89" customWidth="1"/>
    <col min="16" max="16" width="10.85546875" style="89" customWidth="1"/>
    <col min="17" max="17" width="14.7109375" style="89" customWidth="1"/>
    <col min="18" max="18" width="3.140625" style="89" customWidth="1"/>
    <col min="19" max="19" width="20.140625" style="89" customWidth="1"/>
    <col min="20" max="20" width="11.85546875" style="89" customWidth="1"/>
    <col min="21" max="21" width="16.42578125" style="89" customWidth="1"/>
    <col min="22" max="22" width="1.85546875" style="89" customWidth="1"/>
    <col min="23" max="23" width="2.42578125" style="89" customWidth="1"/>
    <col min="24" max="24" width="2" style="89" customWidth="1"/>
    <col min="25" max="25" width="3.7109375" style="89" customWidth="1"/>
    <col min="26" max="26" width="18.42578125" style="89" hidden="1" customWidth="1"/>
    <col min="27" max="27" width="5.42578125" style="89" hidden="1" customWidth="1"/>
    <col min="28" max="28" width="42.5703125" style="89" hidden="1" customWidth="1"/>
    <col min="29" max="36" width="9.140625" style="89" hidden="1" customWidth="1"/>
    <col min="37" max="37" width="11.140625" style="89" hidden="1" customWidth="1"/>
    <col min="38" max="219" width="9.140625" style="89" hidden="1" customWidth="1"/>
    <col min="220" max="220" width="47.42578125" style="89" hidden="1" customWidth="1"/>
    <col min="221" max="221" width="14.5703125" style="89" hidden="1" customWidth="1"/>
    <col min="222" max="222" width="18.28515625" style="89" hidden="1" customWidth="1"/>
    <col min="223" max="223" width="20.5703125" style="89" hidden="1" customWidth="1"/>
    <col min="224" max="226" width="9.140625" style="89" hidden="1" customWidth="1"/>
    <col min="227" max="227" width="14" style="89" hidden="1" customWidth="1"/>
    <col min="228" max="237" width="9.140625" style="89" hidden="1" customWidth="1"/>
    <col min="238" max="238" width="14.28515625" style="89" hidden="1" customWidth="1"/>
    <col min="239" max="248" width="9.140625" style="89" hidden="1" customWidth="1"/>
    <col min="249" max="249" width="10.7109375" style="90" hidden="1" customWidth="1"/>
    <col min="250" max="250" width="25.7109375" style="89" hidden="1" customWidth="1"/>
    <col min="251" max="251" width="20" style="89" hidden="1" customWidth="1"/>
    <col min="252" max="252" width="13.85546875" style="698" hidden="1" customWidth="1"/>
    <col min="253" max="253" width="13.140625" style="89" hidden="1" customWidth="1"/>
    <col min="254" max="255" width="10.140625" style="89" hidden="1" customWidth="1"/>
    <col min="256" max="319" width="0" style="89" hidden="1" customWidth="1"/>
    <col min="320" max="16384" width="9.140625" style="89"/>
  </cols>
  <sheetData>
    <row r="1" spans="1:252" ht="74.25" customHeight="1" x14ac:dyDescent="0.2">
      <c r="D1" s="556"/>
      <c r="G1" s="660" t="s">
        <v>289</v>
      </c>
      <c r="H1" s="657"/>
      <c r="I1" s="657"/>
      <c r="J1" s="657"/>
      <c r="K1" s="657"/>
      <c r="L1" s="657"/>
      <c r="M1" s="657"/>
      <c r="N1" s="657"/>
      <c r="O1" s="657"/>
      <c r="P1" s="657"/>
      <c r="S1" s="1015" t="s">
        <v>295</v>
      </c>
      <c r="T1" s="1015"/>
      <c r="U1" s="1015"/>
      <c r="V1" s="1015"/>
      <c r="W1" s="1015"/>
      <c r="X1" s="1015"/>
      <c r="Y1" s="1015"/>
      <c r="Z1" s="1015"/>
    </row>
    <row r="2" spans="1:252" ht="9.75" customHeight="1" x14ac:dyDescent="0.2">
      <c r="A2" s="818"/>
      <c r="B2" s="818"/>
      <c r="C2" s="297" t="str">
        <f ca="1">IF(I12&gt;AB6,"Simulador inválido e bloqueado, solicitar versão atualizada para a secretaria de vendas CURY!","")</f>
        <v/>
      </c>
      <c r="E2" s="538"/>
      <c r="G2" s="824"/>
      <c r="H2" s="824"/>
      <c r="I2" s="824"/>
      <c r="J2" s="824"/>
      <c r="K2" s="824"/>
      <c r="L2" s="824"/>
      <c r="M2" s="824"/>
      <c r="N2" s="824"/>
      <c r="O2" s="824"/>
      <c r="P2" s="824"/>
      <c r="S2" s="297"/>
      <c r="T2" s="297"/>
      <c r="U2" s="297"/>
      <c r="V2" s="635"/>
      <c r="W2" s="635"/>
      <c r="X2" s="635"/>
      <c r="Y2" s="635"/>
      <c r="Z2" s="635"/>
    </row>
    <row r="3" spans="1:252" ht="36" hidden="1" customHeight="1" x14ac:dyDescent="0.2">
      <c r="A3" s="818"/>
      <c r="B3" s="818"/>
      <c r="C3" s="91"/>
      <c r="D3" s="91"/>
      <c r="E3" s="91"/>
      <c r="F3" s="91"/>
      <c r="G3" s="91"/>
      <c r="H3" s="91"/>
      <c r="I3" s="91"/>
      <c r="J3" s="91"/>
      <c r="K3" s="569">
        <f>IF(G4="ÚNICO SUZANO - TORRE 5",1,IF(G4="ÚNICO SUZANO - FASE 2 - TORRES 4 e 6",1,0))</f>
        <v>0</v>
      </c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</row>
    <row r="4" spans="1:252" ht="30" customHeight="1" x14ac:dyDescent="0.2">
      <c r="A4" s="818"/>
      <c r="B4" s="818"/>
      <c r="C4" s="91"/>
      <c r="D4" s="91"/>
      <c r="E4" s="91"/>
      <c r="F4" s="91"/>
      <c r="G4" s="827" t="s">
        <v>555</v>
      </c>
      <c r="H4" s="828"/>
      <c r="I4" s="828"/>
      <c r="J4" s="828"/>
      <c r="K4" s="828"/>
      <c r="L4" s="828"/>
      <c r="M4" s="828"/>
      <c r="N4" s="828"/>
      <c r="O4" s="828"/>
      <c r="P4" s="829"/>
      <c r="Q4" s="658"/>
      <c r="R4" s="346"/>
      <c r="S4" s="825" t="str">
        <f>IF(AND('Premissas e Calculos'!J11*(1-'Premissas e Calculos'!G29)&lt;='Premissas e Calculos'!J3,'Premissas e Calculos'!J13&lt;='Premissas e Calculos'!J3),"PMCMV","Imóvel fora do PMCMV")</f>
        <v>PMCMV</v>
      </c>
      <c r="T4" s="825"/>
      <c r="U4" s="826"/>
      <c r="V4" s="91"/>
      <c r="HE4" s="10"/>
      <c r="HF4" s="10" t="s">
        <v>116</v>
      </c>
      <c r="HL4" s="811" t="str">
        <f>Apoio!B1</f>
        <v>Planilha de resposta do empreendimento escolhido</v>
      </c>
      <c r="HM4" s="812"/>
      <c r="HN4" s="812"/>
      <c r="HO4" s="813"/>
    </row>
    <row r="5" spans="1:252" ht="18.75" customHeight="1" x14ac:dyDescent="0.2">
      <c r="A5" s="818"/>
      <c r="B5" s="818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AB5" s="107" t="s">
        <v>237</v>
      </c>
      <c r="HE5" s="10">
        <v>1</v>
      </c>
      <c r="HF5" s="118" t="str">
        <f>'Premissas e Calculos'!M30</f>
        <v>SELLER</v>
      </c>
      <c r="HL5" s="92" t="str">
        <f>Apoio!B2</f>
        <v>Código Empreendimento</v>
      </c>
      <c r="HM5" s="93">
        <f>Apoio!C2</f>
        <v>0</v>
      </c>
      <c r="HN5" s="93">
        <f>Apoio!D2</f>
        <v>1</v>
      </c>
      <c r="HO5" s="94">
        <f>Apoio!E2</f>
        <v>0</v>
      </c>
    </row>
    <row r="6" spans="1:252" ht="57.75" customHeight="1" thickBot="1" x14ac:dyDescent="0.25">
      <c r="A6" s="818"/>
      <c r="B6" s="818"/>
      <c r="C6" s="91"/>
      <c r="D6" s="91"/>
      <c r="E6" s="91"/>
      <c r="F6" s="823" t="s">
        <v>314</v>
      </c>
      <c r="G6" s="823"/>
      <c r="H6" s="95"/>
      <c r="I6" s="661" t="s">
        <v>329</v>
      </c>
      <c r="J6" s="659"/>
      <c r="K6" s="659"/>
      <c r="L6" s="659"/>
      <c r="M6" s="822" t="s">
        <v>160</v>
      </c>
      <c r="N6" s="822"/>
      <c r="O6" s="822"/>
      <c r="P6" s="822"/>
      <c r="Q6" s="822"/>
      <c r="R6" s="96"/>
      <c r="S6" s="830">
        <f>VLOOKUP(I6,Apoio!C:E,2,0)</f>
        <v>216030</v>
      </c>
      <c r="T6" s="831"/>
      <c r="U6" s="832"/>
      <c r="V6" s="91"/>
      <c r="AB6" s="298">
        <f ca="1">'Premissas e Calculos'!G38</f>
        <v>43830</v>
      </c>
      <c r="HE6" s="10">
        <v>2</v>
      </c>
      <c r="HF6" s="118" t="str">
        <f>'Premissas e Calculos'!M31</f>
        <v>I.NOVA</v>
      </c>
      <c r="HL6" s="97" t="str">
        <f>Apoio!B3</f>
        <v>Empreendimento:</v>
      </c>
      <c r="HM6" s="93">
        <f>Apoio!C3</f>
        <v>0</v>
      </c>
      <c r="HN6" s="833" t="str">
        <f>Apoio!D3</f>
        <v>Rocha</v>
      </c>
      <c r="HO6" s="834"/>
    </row>
    <row r="7" spans="1:252" ht="9.9499999999999993" customHeight="1" x14ac:dyDescent="0.2">
      <c r="A7" s="818"/>
      <c r="B7" s="818"/>
      <c r="C7" s="645"/>
      <c r="D7" s="91"/>
      <c r="E7" s="91"/>
      <c r="F7" s="98"/>
      <c r="G7" s="99"/>
      <c r="H7" s="99"/>
      <c r="I7" s="100"/>
      <c r="J7" s="100"/>
      <c r="K7" s="100"/>
      <c r="L7" s="100"/>
      <c r="M7" s="101"/>
      <c r="N7" s="101"/>
      <c r="O7" s="99"/>
      <c r="P7" s="99"/>
      <c r="Q7" s="98"/>
      <c r="R7" s="102"/>
      <c r="S7" s="91"/>
      <c r="T7" s="91"/>
      <c r="U7" s="91"/>
      <c r="V7" s="91"/>
      <c r="HE7" s="10">
        <v>3</v>
      </c>
      <c r="HF7" s="118" t="e">
        <f>'Premissas e Calculos'!#REF!</f>
        <v>#REF!</v>
      </c>
      <c r="HL7" s="92" t="str">
        <f>Apoio!B4</f>
        <v>Valor Máximo Do Imóvel dentro do Pacote</v>
      </c>
      <c r="HM7" s="93">
        <f>Apoio!C4</f>
        <v>0</v>
      </c>
      <c r="HN7" s="89">
        <f>Apoio!D4</f>
        <v>0</v>
      </c>
      <c r="HO7" s="103">
        <f>Apoio!E4</f>
        <v>240000</v>
      </c>
    </row>
    <row r="8" spans="1:252" ht="24.75" customHeight="1" x14ac:dyDescent="0.2">
      <c r="A8" s="818"/>
      <c r="B8" s="818"/>
      <c r="C8" s="646" t="s">
        <v>558</v>
      </c>
      <c r="D8" s="91"/>
      <c r="E8" s="91"/>
      <c r="F8" s="823" t="s">
        <v>100</v>
      </c>
      <c r="G8" s="823"/>
      <c r="H8" s="95"/>
      <c r="I8" s="805"/>
      <c r="J8" s="806"/>
      <c r="K8" s="806"/>
      <c r="L8" s="807"/>
      <c r="M8" s="101"/>
      <c r="N8" s="822" t="s">
        <v>159</v>
      </c>
      <c r="O8" s="822"/>
      <c r="P8" s="822"/>
      <c r="Q8" s="822"/>
      <c r="R8" s="96"/>
      <c r="S8" s="805" t="s">
        <v>309</v>
      </c>
      <c r="T8" s="806"/>
      <c r="U8" s="807"/>
      <c r="V8" s="91"/>
      <c r="HE8" s="10">
        <v>4</v>
      </c>
      <c r="HF8" s="118" t="e">
        <f>'Premissas e Calculos'!#REF!</f>
        <v>#REF!</v>
      </c>
      <c r="HL8" s="811" t="str">
        <f>Apoio!B5</f>
        <v>Tabela de Unidades disponíveis</v>
      </c>
      <c r="HM8" s="812"/>
      <c r="HN8" s="812"/>
      <c r="HO8" s="813"/>
      <c r="IP8" s="104" t="s">
        <v>115</v>
      </c>
      <c r="IQ8" s="104" t="s">
        <v>116</v>
      </c>
      <c r="IR8" s="698" t="s">
        <v>4</v>
      </c>
    </row>
    <row r="9" spans="1:252" ht="9.9499999999999993" customHeight="1" x14ac:dyDescent="0.2">
      <c r="A9" s="818"/>
      <c r="B9" s="818"/>
      <c r="C9" s="647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HE9" s="10">
        <v>5</v>
      </c>
      <c r="HF9" s="118" t="e">
        <f>'Premissas e Calculos'!#REF!</f>
        <v>#REF!</v>
      </c>
      <c r="HL9" s="792">
        <f>Apoio!B6</f>
        <v>0</v>
      </c>
      <c r="HM9" s="105" t="str">
        <f>Apoio!C6</f>
        <v>Código Tipo</v>
      </c>
      <c r="HN9" s="106" t="str">
        <f>Apoio!D6</f>
        <v>Código Venda</v>
      </c>
      <c r="HO9" s="106" t="str">
        <f>Apoio!E6</f>
        <v>Código Avaliação</v>
      </c>
      <c r="IP9" s="104"/>
      <c r="IQ9" s="104"/>
    </row>
    <row r="10" spans="1:252" ht="26.25" customHeight="1" x14ac:dyDescent="0.2">
      <c r="A10" s="818"/>
      <c r="B10" s="818"/>
      <c r="C10" s="662" t="s">
        <v>556</v>
      </c>
      <c r="D10" s="91"/>
      <c r="E10" s="91"/>
      <c r="F10" s="823" t="s">
        <v>280</v>
      </c>
      <c r="G10" s="823"/>
      <c r="H10" s="95"/>
      <c r="I10" s="805"/>
      <c r="J10" s="806"/>
      <c r="K10" s="806"/>
      <c r="L10" s="807"/>
      <c r="M10" s="91"/>
      <c r="N10" s="91"/>
      <c r="O10" s="822" t="s">
        <v>57</v>
      </c>
      <c r="P10" s="823"/>
      <c r="Q10" s="822"/>
      <c r="R10" s="91"/>
      <c r="S10" s="814">
        <f>VLOOKUP(G4,'DADOS DOS EMPREENDIMENTOS'!B10:K23,10,FALSE)</f>
        <v>43951</v>
      </c>
      <c r="T10" s="815"/>
      <c r="U10" s="816"/>
      <c r="V10" s="91"/>
      <c r="HE10" s="10">
        <v>6</v>
      </c>
      <c r="HF10" s="118" t="e">
        <f>'Premissas e Calculos'!#REF!</f>
        <v>#REF!</v>
      </c>
      <c r="HL10" s="793"/>
      <c r="HM10" s="105"/>
      <c r="HN10" s="106"/>
      <c r="HO10" s="106"/>
      <c r="IP10" s="104"/>
      <c r="IQ10" s="104"/>
    </row>
    <row r="11" spans="1:252" ht="9.9499999999999993" customHeight="1" thickBot="1" x14ac:dyDescent="0.25">
      <c r="A11" s="818"/>
      <c r="B11" s="818"/>
      <c r="C11" s="647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AB11" s="89" t="s">
        <v>292</v>
      </c>
      <c r="AC11" s="89">
        <v>7</v>
      </c>
      <c r="AD11" s="89">
        <v>7</v>
      </c>
      <c r="HE11" s="10">
        <v>7</v>
      </c>
      <c r="HF11" s="118" t="e">
        <f>'Premissas e Calculos'!#REF!</f>
        <v>#REF!</v>
      </c>
      <c r="HL11" s="793"/>
      <c r="HM11" s="93">
        <f>Apoio!C7</f>
        <v>2</v>
      </c>
      <c r="HN11" s="93">
        <f>Apoio!D7</f>
        <v>3</v>
      </c>
      <c r="HO11" s="93">
        <f>Apoio!E7</f>
        <v>4</v>
      </c>
      <c r="IP11" s="104"/>
      <c r="IQ11" s="104"/>
    </row>
    <row r="12" spans="1:252" ht="25.5" customHeight="1" thickBot="1" x14ac:dyDescent="0.25">
      <c r="A12" s="818"/>
      <c r="B12" s="818"/>
      <c r="C12" s="663" t="s">
        <v>557</v>
      </c>
      <c r="D12" s="70"/>
      <c r="E12" s="70"/>
      <c r="F12" s="823" t="s">
        <v>166</v>
      </c>
      <c r="G12" s="823" t="s">
        <v>166</v>
      </c>
      <c r="H12" s="91"/>
      <c r="I12" s="819">
        <f ca="1">TODAY()</f>
        <v>43809</v>
      </c>
      <c r="J12" s="820"/>
      <c r="K12" s="820"/>
      <c r="L12" s="821"/>
      <c r="M12" s="70"/>
      <c r="N12" s="70"/>
      <c r="O12" s="70"/>
      <c r="P12" s="70"/>
      <c r="Q12" s="70"/>
      <c r="R12" s="70"/>
      <c r="S12" s="70"/>
      <c r="T12" s="70"/>
      <c r="U12" s="70"/>
      <c r="AB12" s="89" t="s">
        <v>293</v>
      </c>
      <c r="AC12" s="89">
        <v>8</v>
      </c>
      <c r="AD12" s="89">
        <v>8</v>
      </c>
      <c r="GZ12" s="107" t="s">
        <v>201</v>
      </c>
      <c r="HE12" s="10">
        <v>8</v>
      </c>
      <c r="HF12" s="118" t="e">
        <f>'Premissas e Calculos'!#REF!</f>
        <v>#REF!</v>
      </c>
      <c r="HL12" s="794"/>
      <c r="HM12" s="93" t="str">
        <f>Apoio!C8</f>
        <v>Tipo</v>
      </c>
      <c r="HN12" s="93" t="str">
        <f>Apoio!D8</f>
        <v>Preço de Venda</v>
      </c>
      <c r="HO12" s="93" t="str">
        <f>Apoio!E8</f>
        <v>Avaliação CAIXA</v>
      </c>
      <c r="HR12" s="796" t="str">
        <f>'DADOS DOS EMPREENDIMENTOS'!A8</f>
        <v>Código dos dos empreendimentos</v>
      </c>
      <c r="HS12" s="797"/>
      <c r="HT12" s="798"/>
      <c r="IC12" s="791"/>
      <c r="ID12" s="791"/>
      <c r="IE12" s="110"/>
      <c r="IP12" s="111" t="s">
        <v>117</v>
      </c>
      <c r="IQ12" s="111" t="s">
        <v>118</v>
      </c>
      <c r="IR12" s="699">
        <v>2.9000000000000001E-2</v>
      </c>
    </row>
    <row r="13" spans="1:252" s="375" customFormat="1" ht="9.9499999999999993" customHeight="1" x14ac:dyDescent="0.2">
      <c r="A13" s="421"/>
      <c r="B13" s="421"/>
      <c r="D13" s="422"/>
      <c r="E13" s="422"/>
      <c r="F13" s="423"/>
      <c r="G13" s="423"/>
      <c r="I13" s="424"/>
      <c r="J13" s="424"/>
      <c r="K13" s="424"/>
      <c r="L13" s="424"/>
      <c r="M13" s="422"/>
      <c r="N13" s="422"/>
      <c r="O13" s="422"/>
      <c r="P13" s="422"/>
      <c r="Q13" s="422"/>
      <c r="R13" s="422"/>
      <c r="S13" s="422"/>
      <c r="T13" s="422"/>
      <c r="U13" s="422"/>
      <c r="GZ13" s="425"/>
      <c r="HE13" s="426"/>
      <c r="HF13" s="427"/>
      <c r="HL13" s="428"/>
      <c r="HM13" s="429"/>
      <c r="HN13" s="429"/>
      <c r="HO13" s="429"/>
      <c r="HR13" s="799"/>
      <c r="HS13" s="800"/>
      <c r="HT13" s="801"/>
      <c r="IC13" s="430"/>
      <c r="ID13" s="430"/>
      <c r="IE13" s="160"/>
      <c r="IO13" s="431"/>
      <c r="IP13" s="432"/>
      <c r="IQ13" s="432"/>
      <c r="IR13" s="699"/>
    </row>
    <row r="14" spans="1:252" ht="37.5" customHeight="1" x14ac:dyDescent="0.2">
      <c r="B14" s="817" t="s">
        <v>161</v>
      </c>
      <c r="C14" s="817"/>
      <c r="D14" s="817"/>
      <c r="E14" s="817"/>
      <c r="F14" s="817"/>
      <c r="G14" s="817"/>
      <c r="H14" s="817"/>
      <c r="I14" s="817"/>
      <c r="J14" s="817"/>
      <c r="K14" s="817"/>
      <c r="L14" s="817"/>
      <c r="M14" s="817"/>
      <c r="N14" s="817"/>
      <c r="O14" s="817"/>
      <c r="P14" s="817"/>
      <c r="Q14" s="817"/>
      <c r="R14" s="817"/>
      <c r="S14" s="817"/>
      <c r="T14" s="817"/>
      <c r="U14" s="817"/>
      <c r="V14" s="817"/>
      <c r="W14" s="817"/>
      <c r="AA14" s="110"/>
      <c r="GZ14" s="107">
        <f>'Premissas e Calculos'!J25</f>
        <v>207388.79999999999</v>
      </c>
      <c r="HE14" s="10">
        <v>9</v>
      </c>
      <c r="HF14" s="118" t="e">
        <f>'Premissas e Calculos'!#REF!</f>
        <v>#REF!</v>
      </c>
      <c r="HL14" s="108"/>
      <c r="HM14" s="93"/>
      <c r="HN14" s="93"/>
      <c r="HO14" s="93"/>
      <c r="HR14" s="799"/>
      <c r="HS14" s="800"/>
      <c r="HT14" s="801"/>
      <c r="IC14" s="109"/>
      <c r="ID14" s="109"/>
      <c r="IE14" s="110"/>
      <c r="IP14" s="111"/>
      <c r="IQ14" s="111"/>
      <c r="IR14" s="699"/>
    </row>
    <row r="15" spans="1:252" ht="9.9499999999999993" customHeight="1" x14ac:dyDescent="0.2"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AA15" s="110"/>
      <c r="HE15" s="10">
        <v>10</v>
      </c>
      <c r="HF15" s="118" t="e">
        <f>'Premissas e Calculos'!#REF!</f>
        <v>#REF!</v>
      </c>
      <c r="HL15" s="108"/>
      <c r="HM15" s="93"/>
      <c r="HN15" s="93"/>
      <c r="HO15" s="93"/>
      <c r="HR15" s="799"/>
      <c r="HS15" s="800"/>
      <c r="HT15" s="801"/>
      <c r="IC15" s="109"/>
      <c r="ID15" s="109"/>
      <c r="IE15" s="110"/>
      <c r="IP15" s="111"/>
      <c r="IQ15" s="111"/>
      <c r="IR15" s="699"/>
    </row>
    <row r="16" spans="1:252" ht="27.75" customHeight="1" thickBot="1" x14ac:dyDescent="0.25">
      <c r="B16" s="851" t="s">
        <v>227</v>
      </c>
      <c r="C16" s="851"/>
      <c r="D16" s="851"/>
      <c r="E16" s="861"/>
      <c r="F16" s="862"/>
      <c r="G16" s="862"/>
      <c r="H16" s="862"/>
      <c r="I16" s="862"/>
      <c r="J16" s="862"/>
      <c r="K16" s="862"/>
      <c r="L16" s="863"/>
      <c r="M16" s="795" t="s">
        <v>164</v>
      </c>
      <c r="N16" s="795"/>
      <c r="O16" s="795"/>
      <c r="P16" s="795"/>
      <c r="Q16" s="795"/>
      <c r="R16" s="121"/>
      <c r="S16" s="301">
        <v>19</v>
      </c>
      <c r="T16" s="302">
        <v>5</v>
      </c>
      <c r="U16" s="303">
        <v>1999</v>
      </c>
      <c r="AA16" s="110"/>
      <c r="HE16" s="10">
        <v>11</v>
      </c>
      <c r="HF16" s="118" t="e">
        <f>'Premissas e Calculos'!#REF!</f>
        <v>#REF!</v>
      </c>
      <c r="HL16" s="116">
        <f>Apoio!B9</f>
        <v>1</v>
      </c>
      <c r="HM16" s="118" t="str">
        <f>Apoio!C9</f>
        <v>1/101</v>
      </c>
      <c r="HN16" s="118">
        <f>Apoio!D9</f>
        <v>216010</v>
      </c>
      <c r="HO16" s="118">
        <f>Apoio!E9</f>
        <v>225000</v>
      </c>
      <c r="HR16" s="802"/>
      <c r="HS16" s="803"/>
      <c r="HT16" s="804"/>
      <c r="IC16" s="110"/>
      <c r="ID16" s="119"/>
      <c r="IE16" s="110"/>
      <c r="IP16" s="111"/>
      <c r="IQ16" s="111"/>
      <c r="IR16" s="699"/>
    </row>
    <row r="17" spans="1:253" ht="9.9499999999999993" customHeight="1" x14ac:dyDescent="0.2">
      <c r="B17" s="115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308"/>
      <c r="N17" s="309"/>
      <c r="O17" s="309"/>
      <c r="P17" s="309"/>
      <c r="Q17" s="309"/>
      <c r="R17" s="115"/>
      <c r="S17" s="115"/>
      <c r="T17" s="115"/>
      <c r="U17" s="115"/>
      <c r="V17" s="115"/>
      <c r="W17" s="115"/>
      <c r="X17" s="115"/>
      <c r="AA17" s="110"/>
      <c r="HE17" s="10"/>
      <c r="HF17" s="118" t="e">
        <f>'Premissas e Calculos'!#REF!</f>
        <v>#REF!</v>
      </c>
      <c r="HL17" s="116" t="e">
        <f>Apoio!#REF!</f>
        <v>#REF!</v>
      </c>
      <c r="HM17" s="118" t="e">
        <f>Apoio!#REF!</f>
        <v>#REF!</v>
      </c>
      <c r="HN17" s="118" t="e">
        <f>Apoio!#REF!</f>
        <v>#REF!</v>
      </c>
      <c r="HO17" s="118" t="e">
        <f>Apoio!#REF!</f>
        <v>#REF!</v>
      </c>
      <c r="HR17" s="112"/>
      <c r="HS17" s="113"/>
      <c r="HT17" s="114"/>
      <c r="IC17" s="110"/>
      <c r="ID17" s="119"/>
      <c r="IE17" s="110"/>
      <c r="IP17" s="111"/>
      <c r="IQ17" s="111"/>
      <c r="IR17" s="699"/>
    </row>
    <row r="18" spans="1:253" ht="9.9499999999999993" customHeight="1" x14ac:dyDescent="0.2"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308"/>
      <c r="AA18" s="110"/>
      <c r="HE18" s="10">
        <v>12</v>
      </c>
      <c r="HF18" s="118" t="e">
        <f>'Premissas e Calculos'!#REF!</f>
        <v>#REF!</v>
      </c>
      <c r="HL18" s="116" t="e">
        <f>Apoio!#REF!</f>
        <v>#REF!</v>
      </c>
      <c r="HM18" s="118" t="e">
        <f>Apoio!#REF!</f>
        <v>#REF!</v>
      </c>
      <c r="HN18" s="118" t="e">
        <f>Apoio!#REF!</f>
        <v>#REF!</v>
      </c>
      <c r="HO18" s="118" t="e">
        <f>Apoio!#REF!</f>
        <v>#REF!</v>
      </c>
      <c r="HR18" s="122">
        <f>'DADOS DOS EMPREENDIMENTOS'!A10</f>
        <v>1</v>
      </c>
      <c r="HS18" s="118" t="str">
        <f>'DADOS DOS EMPREENDIMENTOS'!B10</f>
        <v>Rocha</v>
      </c>
      <c r="HT18" s="123">
        <f>'DADOS DOS EMPREENDIMENTOS'!C10</f>
        <v>1</v>
      </c>
      <c r="IC18" s="110"/>
      <c r="ID18" s="119"/>
      <c r="IE18" s="110"/>
      <c r="IP18" s="111" t="s">
        <v>119</v>
      </c>
      <c r="IQ18" s="111" t="s">
        <v>120</v>
      </c>
      <c r="IR18" s="699">
        <v>3.2500000000000001E-2</v>
      </c>
    </row>
    <row r="19" spans="1:253" ht="9.9499999999999993" customHeight="1" x14ac:dyDescent="0.2">
      <c r="C19" s="120"/>
      <c r="D19" s="120"/>
      <c r="E19" s="120"/>
      <c r="F19" s="120"/>
      <c r="G19" s="120"/>
      <c r="H19" s="120"/>
      <c r="I19" s="120"/>
      <c r="J19" s="849" t="b">
        <f>IF(Z20=0,IF(F20&gt;9000,"Cliente fora do PMCMV/CCFGTS, mudar p/ SAC",""))</f>
        <v>0</v>
      </c>
      <c r="K19" s="849"/>
      <c r="L19" s="849"/>
      <c r="M19" s="850"/>
      <c r="N19" s="310"/>
      <c r="O19" s="310"/>
      <c r="P19" s="310"/>
      <c r="Q19" s="310"/>
      <c r="T19" s="125"/>
      <c r="AA19" s="110"/>
      <c r="GZ19" s="89" t="s">
        <v>209</v>
      </c>
      <c r="HE19" s="10">
        <v>13</v>
      </c>
      <c r="HF19" s="118" t="e">
        <f>'Premissas e Calculos'!#REF!</f>
        <v>#REF!</v>
      </c>
      <c r="HL19" s="116" t="e">
        <f>Apoio!#REF!</f>
        <v>#REF!</v>
      </c>
      <c r="HM19" s="118" t="e">
        <f>Apoio!#REF!</f>
        <v>#REF!</v>
      </c>
      <c r="HN19" s="118" t="e">
        <f>Apoio!#REF!</f>
        <v>#REF!</v>
      </c>
      <c r="HO19" s="118" t="e">
        <f>Apoio!#REF!</f>
        <v>#REF!</v>
      </c>
      <c r="HR19" s="122">
        <f>'DADOS DOS EMPREENDIMENTOS'!A11</f>
        <v>2</v>
      </c>
      <c r="HS19" s="118" t="str">
        <f>'DADOS DOS EMPREENDIMENTOS'!B11</f>
        <v>DEZ VISTA ALEGRE - BLOCOS 1 e 2</v>
      </c>
      <c r="HT19" s="123">
        <f>'DADOS DOS EMPREENDIMENTOS'!C11</f>
        <v>2</v>
      </c>
      <c r="IC19" s="110"/>
      <c r="ID19" s="119"/>
      <c r="IE19" s="110"/>
      <c r="IP19" s="111" t="s">
        <v>121</v>
      </c>
      <c r="IQ19" s="111"/>
    </row>
    <row r="20" spans="1:253" ht="27.75" customHeight="1" x14ac:dyDescent="0.2">
      <c r="B20" s="851" t="s">
        <v>226</v>
      </c>
      <c r="C20" s="851"/>
      <c r="D20" s="851"/>
      <c r="E20" s="851"/>
      <c r="F20" s="852">
        <v>6500</v>
      </c>
      <c r="G20" s="853"/>
      <c r="H20" s="853"/>
      <c r="I20" s="854"/>
      <c r="J20" s="849"/>
      <c r="K20" s="849"/>
      <c r="L20" s="849"/>
      <c r="M20" s="850"/>
      <c r="N20" s="795" t="s">
        <v>208</v>
      </c>
      <c r="O20" s="795"/>
      <c r="P20" s="795"/>
      <c r="Q20" s="795"/>
      <c r="S20" s="808">
        <v>0</v>
      </c>
      <c r="T20" s="809"/>
      <c r="U20" s="810"/>
      <c r="Z20" s="557">
        <f>IF(G1="TABELA PRICE",0,1)</f>
        <v>1</v>
      </c>
      <c r="AA20" s="557">
        <f>IF(H2="TABELA PRICE",0,1)</f>
        <v>1</v>
      </c>
      <c r="AB20" s="89" t="s">
        <v>289</v>
      </c>
      <c r="HE20" s="10"/>
      <c r="HF20" s="118" t="e">
        <f>'Premissas e Calculos'!#REF!</f>
        <v>#REF!</v>
      </c>
      <c r="HL20" s="116" t="e">
        <f>Apoio!#REF!</f>
        <v>#REF!</v>
      </c>
      <c r="HM20" s="118" t="e">
        <f>Apoio!#REF!</f>
        <v>#REF!</v>
      </c>
      <c r="HN20" s="118" t="e">
        <f>Apoio!#REF!</f>
        <v>#REF!</v>
      </c>
      <c r="HO20" s="118" t="e">
        <f>Apoio!#REF!</f>
        <v>#REF!</v>
      </c>
      <c r="HR20" s="122">
        <f>'DADOS DOS EMPREENDIMENTOS'!A12</f>
        <v>3</v>
      </c>
      <c r="HS20" s="118">
        <f>'DADOS DOS EMPREENDIMENTOS'!B12</f>
        <v>0</v>
      </c>
      <c r="HT20" s="123">
        <f>'DADOS DOS EMPREENDIMENTOS'!C12</f>
        <v>3</v>
      </c>
      <c r="IC20" s="110"/>
      <c r="ID20" s="119"/>
      <c r="IE20" s="110"/>
      <c r="IP20" s="111"/>
      <c r="IQ20" s="111"/>
    </row>
    <row r="21" spans="1:253" ht="27.75" customHeight="1" x14ac:dyDescent="0.2">
      <c r="B21" s="309"/>
      <c r="C21" s="309"/>
      <c r="D21" s="309"/>
      <c r="E21" s="309"/>
      <c r="F21" s="629"/>
      <c r="G21" s="629"/>
      <c r="H21" s="629"/>
      <c r="I21" s="629"/>
      <c r="J21" s="849"/>
      <c r="K21" s="849"/>
      <c r="L21" s="849"/>
      <c r="M21" s="850"/>
      <c r="N21" s="344"/>
      <c r="O21" s="344"/>
      <c r="P21" s="344"/>
      <c r="Q21" s="344"/>
      <c r="S21" s="630"/>
      <c r="T21" s="630"/>
      <c r="U21" s="630"/>
      <c r="Z21" s="557"/>
      <c r="AA21" s="557"/>
      <c r="AB21" s="89" t="s">
        <v>288</v>
      </c>
      <c r="HE21" s="10"/>
      <c r="HF21" s="118"/>
      <c r="HL21" s="116" t="e">
        <f>Apoio!#REF!</f>
        <v>#REF!</v>
      </c>
      <c r="HM21" s="118" t="e">
        <f>Apoio!#REF!</f>
        <v>#REF!</v>
      </c>
      <c r="HN21" s="118" t="e">
        <f>Apoio!#REF!</f>
        <v>#REF!</v>
      </c>
      <c r="HO21" s="118" t="e">
        <f>Apoio!#REF!</f>
        <v>#REF!</v>
      </c>
      <c r="HR21" s="122"/>
      <c r="HS21" s="118"/>
      <c r="HT21" s="123"/>
      <c r="IC21" s="110"/>
      <c r="ID21" s="119"/>
      <c r="IE21" s="110"/>
      <c r="IP21" s="111"/>
      <c r="IQ21" s="111"/>
    </row>
    <row r="22" spans="1:253" ht="32.25" customHeight="1" x14ac:dyDescent="0.2">
      <c r="A22" s="308"/>
      <c r="B22" s="308" t="s">
        <v>564</v>
      </c>
      <c r="C22" s="637"/>
      <c r="E22" s="690">
        <v>1</v>
      </c>
      <c r="F22" s="626">
        <f>F20*150%</f>
        <v>9750</v>
      </c>
      <c r="G22" s="628">
        <v>1</v>
      </c>
      <c r="H22" s="124">
        <v>2</v>
      </c>
      <c r="I22" s="124"/>
      <c r="J22" s="849"/>
      <c r="K22" s="849"/>
      <c r="L22" s="849"/>
      <c r="M22" s="850"/>
      <c r="N22" s="124"/>
      <c r="O22" s="124"/>
      <c r="P22" s="124"/>
      <c r="Q22" s="124"/>
      <c r="T22" s="125" t="s">
        <v>128</v>
      </c>
      <c r="GZ22" s="89" t="s">
        <v>210</v>
      </c>
      <c r="HE22" s="10">
        <v>14</v>
      </c>
      <c r="HF22" s="118" t="e">
        <f>'Premissas e Calculos'!#REF!</f>
        <v>#REF!</v>
      </c>
      <c r="HR22" s="122">
        <f>'DADOS DOS EMPREENDIMENTOS'!A13</f>
        <v>4</v>
      </c>
      <c r="HS22" s="118">
        <f>'DADOS DOS EMPREENDIMENTOS'!B13</f>
        <v>0</v>
      </c>
      <c r="HT22" s="123">
        <f>'DADOS DOS EMPREENDIMENTOS'!C13</f>
        <v>4</v>
      </c>
      <c r="IC22" s="110"/>
      <c r="ID22" s="119"/>
      <c r="IE22" s="110"/>
    </row>
    <row r="23" spans="1:253" ht="32.25" customHeight="1" x14ac:dyDescent="0.2">
      <c r="A23" s="308"/>
      <c r="B23" s="308" t="s">
        <v>569</v>
      </c>
      <c r="C23" s="637"/>
      <c r="E23" s="690" t="s">
        <v>210</v>
      </c>
      <c r="F23" s="626"/>
      <c r="G23" s="628"/>
      <c r="H23" s="124"/>
      <c r="I23" s="124"/>
      <c r="J23" s="849"/>
      <c r="K23" s="849"/>
      <c r="L23" s="849"/>
      <c r="M23" s="850"/>
      <c r="N23" s="124"/>
      <c r="O23" s="124"/>
      <c r="P23" s="124"/>
      <c r="Q23" s="124"/>
      <c r="T23" s="125"/>
      <c r="HE23" s="10"/>
      <c r="HF23" s="118"/>
      <c r="HR23" s="122"/>
      <c r="HS23" s="118"/>
      <c r="HT23" s="123"/>
      <c r="IC23" s="110"/>
      <c r="ID23" s="119"/>
      <c r="IE23" s="110"/>
    </row>
    <row r="24" spans="1:253" ht="27.75" customHeight="1" x14ac:dyDescent="0.2">
      <c r="A24" s="308"/>
      <c r="B24" s="308" t="s">
        <v>568</v>
      </c>
      <c r="C24" s="637"/>
      <c r="E24" s="690">
        <v>10</v>
      </c>
      <c r="F24" s="626"/>
      <c r="G24" s="628"/>
      <c r="H24" s="124"/>
      <c r="I24" s="124"/>
      <c r="J24" s="849"/>
      <c r="K24" s="849"/>
      <c r="L24" s="849"/>
      <c r="M24" s="850"/>
      <c r="N24" s="124"/>
      <c r="O24" s="124"/>
      <c r="P24" s="124"/>
      <c r="Q24" s="124"/>
      <c r="T24" s="125"/>
      <c r="HE24" s="10"/>
      <c r="HF24" s="118"/>
      <c r="HR24" s="122"/>
      <c r="HS24" s="118"/>
      <c r="HT24" s="123"/>
      <c r="IC24" s="110"/>
      <c r="ID24" s="119"/>
      <c r="IE24" s="110"/>
    </row>
    <row r="25" spans="1:253" ht="32.25" customHeight="1" x14ac:dyDescent="0.2">
      <c r="A25" s="308"/>
      <c r="B25" s="308"/>
      <c r="C25" s="637"/>
      <c r="D25" s="628"/>
      <c r="F25" s="626"/>
      <c r="G25" s="628"/>
      <c r="H25" s="124"/>
      <c r="I25" s="124"/>
      <c r="J25" s="849"/>
      <c r="K25" s="849"/>
      <c r="L25" s="849"/>
      <c r="M25" s="850"/>
      <c r="N25" s="124"/>
      <c r="O25" s="124"/>
      <c r="P25" s="124"/>
      <c r="Q25" s="124"/>
      <c r="T25" s="125"/>
      <c r="HE25" s="10"/>
      <c r="HF25" s="118"/>
      <c r="HR25" s="122"/>
      <c r="HS25" s="118"/>
      <c r="HT25" s="123"/>
      <c r="IC25" s="110"/>
      <c r="ID25" s="119"/>
      <c r="IE25" s="110"/>
    </row>
    <row r="26" spans="1:253" ht="27.75" customHeight="1" x14ac:dyDescent="0.2">
      <c r="D26" s="616">
        <f>E22</f>
        <v>1</v>
      </c>
      <c r="F26" s="643">
        <f>IF(E36="não",10.48%,IF(E24&gt;=36,'Premissas e Calculos'!J9-0.5%,'Premissas e Calculos'!J9))</f>
        <v>8.1600000000000006E-2</v>
      </c>
      <c r="G26" s="644" t="s">
        <v>162</v>
      </c>
      <c r="I26" s="628" t="str">
        <f>IF(E24&gt;=36,"(Redução de 0,5% na taxa de juros)","")</f>
        <v/>
      </c>
      <c r="J26" s="849"/>
      <c r="K26" s="849"/>
      <c r="L26" s="849"/>
      <c r="M26" s="850"/>
      <c r="N26" s="345"/>
      <c r="O26" s="345"/>
      <c r="P26" s="795" t="s">
        <v>274</v>
      </c>
      <c r="Q26" s="795"/>
      <c r="S26" s="835">
        <f>'Premissas e Calculos'!J17</f>
        <v>0</v>
      </c>
      <c r="T26" s="836"/>
      <c r="U26" s="837"/>
      <c r="Z26" s="126"/>
      <c r="HE26" s="10">
        <v>15</v>
      </c>
      <c r="HF26" s="118" t="e">
        <f>'Premissas e Calculos'!#REF!</f>
        <v>#REF!</v>
      </c>
      <c r="HL26" s="116" t="e">
        <f>Apoio!#REF!</f>
        <v>#REF!</v>
      </c>
      <c r="HM26" s="118" t="e">
        <f>Apoio!#REF!</f>
        <v>#REF!</v>
      </c>
      <c r="HN26" s="118" t="e">
        <f>Apoio!#REF!</f>
        <v>#REF!</v>
      </c>
      <c r="HO26" s="118" t="e">
        <f>Apoio!#REF!</f>
        <v>#REF!</v>
      </c>
      <c r="HR26" s="122">
        <f>'DADOS DOS EMPREENDIMENTOS'!A14</f>
        <v>5</v>
      </c>
      <c r="HS26" s="118">
        <f>'DADOS DOS EMPREENDIMENTOS'!B14</f>
        <v>0</v>
      </c>
      <c r="HT26" s="123">
        <f>'DADOS DOS EMPREENDIMENTOS'!C14</f>
        <v>5</v>
      </c>
      <c r="IC26" s="110"/>
      <c r="ID26" s="119"/>
      <c r="IE26" s="110"/>
    </row>
    <row r="27" spans="1:253" ht="25.5" customHeight="1" x14ac:dyDescent="0.2">
      <c r="B27" s="851" t="s">
        <v>298</v>
      </c>
      <c r="C27" s="851"/>
      <c r="D27" s="851"/>
      <c r="E27" s="851"/>
      <c r="I27" s="628"/>
      <c r="J27" s="850"/>
      <c r="K27" s="850"/>
      <c r="L27" s="850"/>
      <c r="M27" s="850"/>
      <c r="T27" s="125" t="s">
        <v>128</v>
      </c>
      <c r="HE27" s="10">
        <v>16</v>
      </c>
      <c r="HF27" s="118" t="e">
        <f>'Premissas e Calculos'!#REF!</f>
        <v>#REF!</v>
      </c>
      <c r="HL27" s="116" t="e">
        <f>Apoio!#REF!</f>
        <v>#REF!</v>
      </c>
      <c r="HM27" s="118" t="e">
        <f>Apoio!#REF!</f>
        <v>#REF!</v>
      </c>
      <c r="HN27" s="118" t="e">
        <f>Apoio!#REF!</f>
        <v>#REF!</v>
      </c>
      <c r="HO27" s="118" t="e">
        <f>Apoio!#REF!</f>
        <v>#REF!</v>
      </c>
      <c r="HR27" s="122">
        <f>'DADOS DOS EMPREENDIMENTOS'!A15</f>
        <v>6</v>
      </c>
      <c r="HS27" s="118">
        <f>'DADOS DOS EMPREENDIMENTOS'!B15</f>
        <v>0</v>
      </c>
      <c r="HT27" s="123">
        <f>'DADOS DOS EMPREENDIMENTOS'!C15</f>
        <v>6</v>
      </c>
      <c r="IC27" s="110"/>
      <c r="ID27" s="119"/>
      <c r="IE27" s="110"/>
      <c r="IP27" s="104" t="s">
        <v>122</v>
      </c>
      <c r="IQ27" s="104" t="s">
        <v>113</v>
      </c>
      <c r="IR27" s="698" t="s">
        <v>123</v>
      </c>
      <c r="IS27" s="104" t="s">
        <v>124</v>
      </c>
    </row>
    <row r="28" spans="1:253" ht="27.75" customHeight="1" x14ac:dyDescent="0.2">
      <c r="F28" s="643">
        <f>(1+F26)^(1/12)-1</f>
        <v>6.5581969365593462E-3</v>
      </c>
      <c r="G28" s="644" t="s">
        <v>163</v>
      </c>
      <c r="I28" s="628"/>
      <c r="L28" s="795" t="s">
        <v>172</v>
      </c>
      <c r="M28" s="795"/>
      <c r="N28" s="795"/>
      <c r="O28" s="795"/>
      <c r="P28" s="795"/>
      <c r="Q28" s="795"/>
      <c r="S28" s="835">
        <f ca="1">IF((S6-((IF(ROUND(IF(G35="PRAZO EXCEDIDO","ERRO",'Premissas e Calculos'!O10),0)&gt;=0,ROUND(IF(G33="PRAZO EXCEDIDO","ERRO",'Premissas e Calculos'!O10),0),0)*'Premissas e Calculos'!G32)+S26+S20))&gt;S33,(IF(ROUND(IF(G33="PRAZO EXCEDIDO","ERRO",'Premissas e Calculos'!O10),0)&gt;=0,ROUND(IF(G33="PRAZO EXCEDIDO","ERRO",'Premissas e Calculos'!O10),0),0)*'Premissas e Calculos'!G32),S7-S30-S20-S26)</f>
        <v>168198.61799999999</v>
      </c>
      <c r="T28" s="836"/>
      <c r="U28" s="837"/>
      <c r="V28" s="127"/>
      <c r="W28" s="127"/>
      <c r="HE28" s="10">
        <v>17</v>
      </c>
      <c r="HF28" s="118" t="e">
        <f>'Premissas e Calculos'!#REF!</f>
        <v>#REF!</v>
      </c>
      <c r="HL28" s="116" t="e">
        <f>Apoio!#REF!</f>
        <v>#REF!</v>
      </c>
      <c r="HM28" s="118" t="e">
        <f>Apoio!#REF!</f>
        <v>#REF!</v>
      </c>
      <c r="HN28" s="118" t="e">
        <f>Apoio!#REF!</f>
        <v>#REF!</v>
      </c>
      <c r="HO28" s="118" t="e">
        <f>Apoio!#REF!</f>
        <v>#REF!</v>
      </c>
      <c r="HR28" s="122">
        <f>'DADOS DOS EMPREENDIMENTOS'!A16</f>
        <v>7</v>
      </c>
      <c r="HS28" s="118">
        <f>'DADOS DOS EMPREENDIMENTOS'!B16</f>
        <v>0</v>
      </c>
      <c r="HT28" s="123">
        <f>'DADOS DOS EMPREENDIMENTOS'!C16</f>
        <v>7</v>
      </c>
      <c r="IC28" s="110"/>
      <c r="ID28" s="119"/>
      <c r="IE28" s="110"/>
      <c r="IP28" s="90">
        <v>240</v>
      </c>
      <c r="IQ28" s="128" t="e">
        <f>repasse240</f>
        <v>#REF!</v>
      </c>
      <c r="IR28" s="700" t="e">
        <f>#REF!</f>
        <v>#REF!</v>
      </c>
      <c r="IS28" s="129" t="e">
        <f>#REF!/IP28</f>
        <v>#REF!</v>
      </c>
    </row>
    <row r="29" spans="1:253" ht="27.75" customHeight="1" x14ac:dyDescent="0.2">
      <c r="I29" s="628"/>
      <c r="L29" s="130"/>
      <c r="M29" s="130"/>
      <c r="N29" s="130"/>
      <c r="S29" s="127"/>
      <c r="T29" s="125" t="s">
        <v>129</v>
      </c>
      <c r="U29" s="127"/>
      <c r="V29" s="127"/>
      <c r="W29" s="127"/>
      <c r="HE29" s="10">
        <v>18</v>
      </c>
      <c r="HF29" s="118" t="e">
        <f>'Premissas e Calculos'!#REF!</f>
        <v>#REF!</v>
      </c>
      <c r="HL29" s="116" t="e">
        <f>Apoio!#REF!</f>
        <v>#REF!</v>
      </c>
      <c r="HM29" s="118" t="e">
        <f>Apoio!#REF!</f>
        <v>#REF!</v>
      </c>
      <c r="HN29" s="118" t="e">
        <f>Apoio!#REF!</f>
        <v>#REF!</v>
      </c>
      <c r="HO29" s="118" t="e">
        <f>Apoio!#REF!</f>
        <v>#REF!</v>
      </c>
      <c r="HR29" s="122">
        <f>'DADOS DOS EMPREENDIMENTOS'!A17</f>
        <v>8</v>
      </c>
      <c r="HS29" s="118">
        <f>'DADOS DOS EMPREENDIMENTOS'!B17</f>
        <v>0</v>
      </c>
      <c r="HT29" s="123">
        <f>'DADOS DOS EMPREENDIMENTOS'!C17</f>
        <v>8</v>
      </c>
      <c r="IC29" s="110"/>
      <c r="ID29" s="119"/>
      <c r="IE29" s="110"/>
      <c r="IP29" s="90">
        <v>300</v>
      </c>
      <c r="IQ29" s="128" t="e">
        <f>repasse300</f>
        <v>#REF!</v>
      </c>
      <c r="IR29" s="700" t="e">
        <f>#REF!</f>
        <v>#REF!</v>
      </c>
      <c r="IS29" s="129" t="e">
        <f>#REF!/IP29</f>
        <v>#REF!</v>
      </c>
    </row>
    <row r="30" spans="1:253" ht="30.75" customHeight="1" x14ac:dyDescent="0.2">
      <c r="B30" s="856" t="s">
        <v>299</v>
      </c>
      <c r="C30" s="856"/>
      <c r="D30" s="856"/>
      <c r="E30" s="856"/>
      <c r="F30" s="857"/>
      <c r="G30" s="692">
        <v>240</v>
      </c>
      <c r="H30" s="628"/>
      <c r="I30" s="628"/>
      <c r="L30" s="795" t="s">
        <v>300</v>
      </c>
      <c r="M30" s="795"/>
      <c r="N30" s="795"/>
      <c r="O30" s="795"/>
      <c r="P30" s="795"/>
      <c r="Q30" s="795"/>
      <c r="S30" s="840">
        <f ca="1">SUM(S28,S26,S20)</f>
        <v>168198.61799999999</v>
      </c>
      <c r="T30" s="841"/>
      <c r="U30" s="842"/>
      <c r="V30" s="131"/>
      <c r="HE30" s="10">
        <v>19</v>
      </c>
      <c r="HF30" s="118" t="e">
        <f>'Premissas e Calculos'!#REF!</f>
        <v>#REF!</v>
      </c>
      <c r="HL30" s="116" t="e">
        <f>Apoio!#REF!</f>
        <v>#REF!</v>
      </c>
      <c r="HM30" s="118" t="e">
        <f>Apoio!#REF!</f>
        <v>#REF!</v>
      </c>
      <c r="HN30" s="118" t="e">
        <f>Apoio!#REF!</f>
        <v>#REF!</v>
      </c>
      <c r="HO30" s="118" t="e">
        <f>Apoio!#REF!</f>
        <v>#REF!</v>
      </c>
      <c r="HR30" s="122">
        <f>'DADOS DOS EMPREENDIMENTOS'!A18</f>
        <v>9</v>
      </c>
      <c r="HS30" s="118">
        <f>'DADOS DOS EMPREENDIMENTOS'!B18</f>
        <v>0</v>
      </c>
      <c r="HT30" s="123">
        <f>'DADOS DOS EMPREENDIMENTOS'!C18</f>
        <v>9</v>
      </c>
      <c r="IC30" s="110"/>
      <c r="ID30" s="119"/>
      <c r="IE30" s="110"/>
      <c r="IP30" s="90">
        <v>360</v>
      </c>
      <c r="IQ30" s="128" t="e">
        <f>#REF!</f>
        <v>#REF!</v>
      </c>
      <c r="IR30" s="700" t="e">
        <f>#REF!</f>
        <v>#REF!</v>
      </c>
      <c r="IS30" s="129" t="e">
        <f>#REF!/IP30</f>
        <v>#REF!</v>
      </c>
    </row>
    <row r="31" spans="1:253" ht="30.75" customHeight="1" x14ac:dyDescent="0.2">
      <c r="B31" s="689"/>
      <c r="C31" s="689"/>
      <c r="D31" s="689"/>
      <c r="E31" s="689"/>
      <c r="F31" s="689"/>
      <c r="G31" s="689"/>
      <c r="H31" s="689"/>
      <c r="I31" s="628"/>
      <c r="J31" s="689"/>
      <c r="K31" s="689"/>
      <c r="L31" s="689"/>
      <c r="M31" s="689"/>
      <c r="N31" s="689"/>
      <c r="O31" s="689"/>
      <c r="P31" s="689"/>
      <c r="Q31" s="689"/>
      <c r="R31" s="689"/>
      <c r="S31" s="689"/>
      <c r="T31" s="689"/>
      <c r="U31" s="689"/>
      <c r="V31" s="689"/>
      <c r="HE31" s="10"/>
      <c r="HF31" s="118"/>
      <c r="HL31" s="116"/>
      <c r="HM31" s="118"/>
      <c r="HN31" s="118"/>
      <c r="HO31" s="118"/>
      <c r="HR31" s="122"/>
      <c r="HS31" s="118"/>
      <c r="HT31" s="123"/>
      <c r="IC31" s="110"/>
      <c r="ID31" s="119"/>
      <c r="IE31" s="110"/>
      <c r="IP31" s="90"/>
      <c r="IQ31" s="128"/>
      <c r="IR31" s="700"/>
      <c r="IS31" s="129"/>
    </row>
    <row r="32" spans="1:253" ht="30.75" customHeight="1" x14ac:dyDescent="0.2">
      <c r="B32" s="856" t="s">
        <v>576</v>
      </c>
      <c r="C32" s="856"/>
      <c r="D32" s="856"/>
      <c r="E32" s="856"/>
      <c r="F32" s="857"/>
      <c r="G32" s="691" t="s">
        <v>210</v>
      </c>
      <c r="H32" s="689"/>
      <c r="I32" s="689"/>
      <c r="J32" s="689"/>
      <c r="K32" s="689"/>
      <c r="L32" s="689"/>
      <c r="M32" s="689"/>
      <c r="N32" s="689"/>
      <c r="O32" s="689"/>
      <c r="P32" s="689"/>
      <c r="Q32" s="689"/>
      <c r="R32" s="689"/>
      <c r="S32" s="689"/>
      <c r="T32" s="689"/>
      <c r="U32" s="689"/>
      <c r="V32" s="689"/>
      <c r="HE32" s="10"/>
      <c r="HF32" s="118"/>
      <c r="HL32" s="116"/>
      <c r="HM32" s="118"/>
      <c r="HN32" s="118"/>
      <c r="HO32" s="118"/>
      <c r="HR32" s="122"/>
      <c r="HS32" s="118"/>
      <c r="HT32" s="123"/>
      <c r="IC32" s="110"/>
      <c r="ID32" s="119"/>
      <c r="IE32" s="110"/>
      <c r="IP32" s="90"/>
      <c r="IQ32" s="128"/>
      <c r="IR32" s="700"/>
      <c r="IS32" s="129"/>
    </row>
    <row r="33" spans="1:239" ht="25.5" customHeight="1" x14ac:dyDescent="0.2">
      <c r="G33" s="561" t="str">
        <f ca="1">IF(G28&lt;='Premissas e Calculos'!O16,"OK",IF('Premissas e Calculos'!O16&lt;0,"Não é possível financiar. Idade superior à permitida.",CONCATENATE("PRAZO EXCEDIDO, MÁXIMO: ",'Premissas e Calculos'!O16, " MESES")))</f>
        <v>PRAZO EXCEDIDO, MÁXIMO: 420 MESES</v>
      </c>
      <c r="T33" s="125"/>
      <c r="U33" s="131"/>
      <c r="V33" s="131"/>
      <c r="GY33" s="89" t="s">
        <v>186</v>
      </c>
      <c r="HE33" s="10">
        <v>20</v>
      </c>
      <c r="HF33" s="118" t="e">
        <f>'Premissas e Calculos'!#REF!</f>
        <v>#REF!</v>
      </c>
      <c r="HL33" s="116" t="e">
        <f>Apoio!#REF!</f>
        <v>#REF!</v>
      </c>
      <c r="HM33" s="118" t="e">
        <f>Apoio!#REF!</f>
        <v>#REF!</v>
      </c>
      <c r="HN33" s="118" t="e">
        <f>Apoio!#REF!</f>
        <v>#REF!</v>
      </c>
      <c r="HO33" s="118" t="e">
        <f>Apoio!#REF!</f>
        <v>#REF!</v>
      </c>
      <c r="HR33" s="122">
        <f>'DADOS DOS EMPREENDIMENTOS'!A19</f>
        <v>10</v>
      </c>
      <c r="HS33" s="118">
        <f>'DADOS DOS EMPREENDIMENTOS'!B19</f>
        <v>0</v>
      </c>
      <c r="HT33" s="123">
        <f>'DADOS DOS EMPREENDIMENTOS'!C19</f>
        <v>10</v>
      </c>
      <c r="IC33" s="110"/>
      <c r="ID33" s="119"/>
      <c r="IE33" s="110"/>
    </row>
    <row r="34" spans="1:239" ht="27" customHeight="1" x14ac:dyDescent="0.2">
      <c r="C34" s="848" t="str">
        <f>IF(F20&gt;'Premissas e Calculos'!C7,"Renda acima de R$ 6.500 Financia somente na Tabela SAC em até 360 meses"," ")</f>
        <v xml:space="preserve"> </v>
      </c>
      <c r="D34" s="848"/>
      <c r="E34" s="848"/>
      <c r="F34" s="848"/>
      <c r="G34" s="848"/>
      <c r="H34" s="848"/>
      <c r="I34" s="848"/>
      <c r="J34" s="848"/>
      <c r="K34" s="848"/>
      <c r="L34" s="848"/>
      <c r="M34" s="848"/>
      <c r="N34" s="843" t="s">
        <v>291</v>
      </c>
      <c r="O34" s="843"/>
      <c r="P34" s="843"/>
      <c r="Q34" s="843"/>
      <c r="R34" s="627"/>
      <c r="S34" s="865"/>
      <c r="T34" s="865"/>
      <c r="U34" s="865"/>
      <c r="V34" s="131"/>
      <c r="AB34" s="412" t="s">
        <v>281</v>
      </c>
      <c r="HE34" s="10"/>
      <c r="HF34" s="118"/>
      <c r="HL34" s="116" t="e">
        <f>Apoio!#REF!</f>
        <v>#REF!</v>
      </c>
      <c r="HM34" s="118" t="e">
        <f>Apoio!#REF!</f>
        <v>#REF!</v>
      </c>
      <c r="HN34" s="118" t="e">
        <f>Apoio!#REF!</f>
        <v>#REF!</v>
      </c>
      <c r="HO34" s="118" t="e">
        <f>Apoio!#REF!</f>
        <v>#REF!</v>
      </c>
      <c r="HR34" s="122">
        <f>'DADOS DOS EMPREENDIMENTOS'!A20</f>
        <v>11</v>
      </c>
      <c r="HS34" s="118">
        <f>'DADOS DOS EMPREENDIMENTOS'!B20</f>
        <v>0</v>
      </c>
      <c r="HT34" s="123">
        <f>'DADOS DOS EMPREENDIMENTOS'!C20</f>
        <v>11</v>
      </c>
      <c r="IC34" s="110"/>
      <c r="ID34" s="119"/>
      <c r="IE34" s="110"/>
    </row>
    <row r="35" spans="1:239" ht="27" customHeight="1" thickBot="1" x14ac:dyDescent="0.25">
      <c r="B35" s="372"/>
      <c r="C35" s="372"/>
      <c r="D35" s="372"/>
      <c r="E35" s="372"/>
      <c r="F35" s="372"/>
      <c r="G35" s="855" t="str">
        <f ca="1">IF(G30&lt;='Premissas e Calculos'!O16,"OK",IF('Premissas e Calculos'!O16&lt;0,"Não é possível financiar. Idade superior à permitida.",CONCATENATE("PRAZO EXCEDIDO, MÁXIMO: ",'Premissas e Calculos'!O16," MESES")))</f>
        <v>OK</v>
      </c>
      <c r="H35" s="855"/>
      <c r="I35" s="855"/>
      <c r="N35" s="344"/>
      <c r="O35" s="344"/>
      <c r="P35" s="344"/>
      <c r="Q35" s="344"/>
      <c r="T35" s="125"/>
      <c r="U35" s="131"/>
      <c r="V35" s="131"/>
      <c r="AB35" s="413">
        <f>IF(M47&gt;N36,M47,N36)</f>
        <v>1950</v>
      </c>
      <c r="HE35" s="10"/>
      <c r="HF35" s="118"/>
      <c r="HL35" s="116"/>
      <c r="HM35" s="118"/>
      <c r="HN35" s="118"/>
      <c r="HO35" s="118"/>
      <c r="HR35" s="122">
        <f>'DADOS DOS EMPREENDIMENTOS'!A21</f>
        <v>12</v>
      </c>
      <c r="HS35" s="118">
        <f>'DADOS DOS EMPREENDIMENTOS'!B21</f>
        <v>0</v>
      </c>
      <c r="HT35" s="123">
        <f>'DADOS DOS EMPREENDIMENTOS'!C21</f>
        <v>12</v>
      </c>
      <c r="IC35" s="110"/>
      <c r="ID35" s="119"/>
      <c r="IE35" s="110"/>
    </row>
    <row r="36" spans="1:239" ht="27" customHeight="1" thickBot="1" x14ac:dyDescent="0.25">
      <c r="B36" s="858" t="s">
        <v>565</v>
      </c>
      <c r="C36" s="859"/>
      <c r="D36" s="860"/>
      <c r="E36" s="681" t="str">
        <f>IF(AND(F20&lt;='Premissas e Calculos'!C7,G32="Não"),"Sim","Não")</f>
        <v>Sim</v>
      </c>
      <c r="F36" s="634"/>
      <c r="G36" s="855"/>
      <c r="H36" s="855"/>
      <c r="I36" s="855"/>
      <c r="J36" s="410" t="s">
        <v>301</v>
      </c>
      <c r="K36" s="371"/>
      <c r="L36" s="371"/>
      <c r="M36" s="648" t="s">
        <v>264</v>
      </c>
      <c r="N36" s="844">
        <f>(F20*30%)</f>
        <v>1950</v>
      </c>
      <c r="O36" s="845"/>
      <c r="Q36" s="344" t="s">
        <v>302</v>
      </c>
      <c r="S36" s="840">
        <f ca="1">S34+S30</f>
        <v>168198.61799999999</v>
      </c>
      <c r="T36" s="841"/>
      <c r="U36" s="842"/>
      <c r="V36" s="131"/>
      <c r="AB36" s="413">
        <f>IF(M49&gt;N36,M49,N36)</f>
        <v>1950</v>
      </c>
      <c r="HE36" s="10"/>
      <c r="HF36" s="118"/>
      <c r="HL36" s="116"/>
      <c r="HM36" s="118"/>
      <c r="HN36" s="118"/>
      <c r="HO36" s="118"/>
      <c r="HR36" s="122">
        <f>'DADOS DOS EMPREENDIMENTOS'!A22</f>
        <v>13</v>
      </c>
      <c r="HS36" s="118">
        <f>'DADOS DOS EMPREENDIMENTOS'!B22</f>
        <v>0</v>
      </c>
      <c r="HT36" s="123">
        <f>'DADOS DOS EMPREENDIMENTOS'!C22</f>
        <v>13</v>
      </c>
      <c r="IC36" s="110"/>
      <c r="ID36" s="119"/>
      <c r="IE36" s="110"/>
    </row>
    <row r="37" spans="1:239" ht="9.9499999999999993" customHeight="1" x14ac:dyDescent="0.2">
      <c r="K37" s="132"/>
      <c r="Q37" s="126"/>
      <c r="R37" s="126"/>
      <c r="HE37" s="10">
        <v>21</v>
      </c>
      <c r="HF37" s="118" t="e">
        <f>'Premissas e Calculos'!#REF!</f>
        <v>#REF!</v>
      </c>
      <c r="HR37" s="122">
        <f>'DADOS DOS EMPREENDIMENTOS'!A23</f>
        <v>14</v>
      </c>
      <c r="HS37" s="118">
        <f>'DADOS DOS EMPREENDIMENTOS'!B23</f>
        <v>0</v>
      </c>
      <c r="HT37" s="123">
        <f>'DADOS DOS EMPREENDIMENTOS'!C23</f>
        <v>14</v>
      </c>
      <c r="IC37" s="110"/>
      <c r="ID37" s="119"/>
      <c r="IE37" s="110"/>
    </row>
    <row r="38" spans="1:239" ht="36" customHeight="1" thickBot="1" x14ac:dyDescent="0.25">
      <c r="A38" s="704"/>
      <c r="B38" s="817" t="s">
        <v>225</v>
      </c>
      <c r="C38" s="817"/>
      <c r="D38" s="817"/>
      <c r="E38" s="817"/>
      <c r="F38" s="817"/>
      <c r="G38" s="817"/>
      <c r="H38" s="817"/>
      <c r="I38" s="817"/>
      <c r="J38" s="817"/>
      <c r="K38" s="817"/>
      <c r="L38" s="817"/>
      <c r="M38" s="817"/>
      <c r="N38" s="817"/>
      <c r="O38" s="817"/>
      <c r="P38" s="817"/>
      <c r="Q38" s="817"/>
      <c r="R38" s="817"/>
      <c r="S38" s="817"/>
      <c r="T38" s="817"/>
      <c r="U38" s="817"/>
      <c r="V38" s="817"/>
      <c r="W38" s="817"/>
      <c r="GY38" s="6" t="s">
        <v>46</v>
      </c>
      <c r="GZ38" s="89">
        <v>1</v>
      </c>
      <c r="HE38" s="10">
        <v>22</v>
      </c>
      <c r="HF38" s="118" t="e">
        <f>'Premissas e Calculos'!#REF!</f>
        <v>#REF!</v>
      </c>
      <c r="HL38" s="116"/>
      <c r="HM38" s="117"/>
      <c r="HN38" s="118"/>
      <c r="HO38" s="118"/>
      <c r="HR38" s="122">
        <f>'DADOS DOS EMPREENDIMENTOS'!A24</f>
        <v>0</v>
      </c>
      <c r="HS38" s="118">
        <f>'DADOS DOS EMPREENDIMENTOS'!B24</f>
        <v>0</v>
      </c>
      <c r="HT38" s="123">
        <f>'DADOS DOS EMPREENDIMENTOS'!C24</f>
        <v>0</v>
      </c>
      <c r="IC38" s="110"/>
      <c r="ID38" s="119"/>
      <c r="IE38" s="110"/>
    </row>
    <row r="39" spans="1:239" ht="20.25" hidden="1" customHeight="1" thickBot="1" x14ac:dyDescent="0.25">
      <c r="A39" s="704"/>
      <c r="Z39" s="295" t="s">
        <v>224</v>
      </c>
      <c r="GY39" s="6" t="s">
        <v>48</v>
      </c>
      <c r="GZ39" s="89">
        <v>6</v>
      </c>
      <c r="HE39" s="10">
        <v>23</v>
      </c>
      <c r="HF39" s="118" t="e">
        <f>'Premissas e Calculos'!#REF!</f>
        <v>#REF!</v>
      </c>
      <c r="HL39" s="116"/>
      <c r="HM39" s="117"/>
      <c r="HN39" s="118"/>
      <c r="HO39" s="118"/>
      <c r="HR39" s="122">
        <f>'DADOS DOS EMPREENDIMENTOS'!A25</f>
        <v>0</v>
      </c>
      <c r="HS39" s="118">
        <f>'DADOS DOS EMPREENDIMENTOS'!B25</f>
        <v>0</v>
      </c>
      <c r="HT39" s="123">
        <f>'DADOS DOS EMPREENDIMENTOS'!C25</f>
        <v>0</v>
      </c>
      <c r="IC39" s="110"/>
      <c r="ID39" s="119"/>
      <c r="IE39" s="110"/>
    </row>
    <row r="40" spans="1:239" ht="46.5" hidden="1" customHeight="1" x14ac:dyDescent="0.2">
      <c r="A40" s="704"/>
      <c r="B40" s="866" t="s">
        <v>191</v>
      </c>
      <c r="C40" s="867"/>
      <c r="D40" s="133"/>
      <c r="E40" s="847" t="s">
        <v>195</v>
      </c>
      <c r="F40" s="847"/>
      <c r="G40" s="847" t="s">
        <v>188</v>
      </c>
      <c r="H40" s="847"/>
      <c r="I40" s="847"/>
      <c r="J40" s="846" t="s">
        <v>187</v>
      </c>
      <c r="K40" s="846"/>
      <c r="L40" s="846"/>
      <c r="M40" s="846" t="s">
        <v>189</v>
      </c>
      <c r="N40" s="846"/>
      <c r="O40" s="846"/>
      <c r="P40" s="847" t="s">
        <v>69</v>
      </c>
      <c r="Q40" s="847"/>
      <c r="R40" s="847"/>
      <c r="S40" s="363" t="s">
        <v>275</v>
      </c>
      <c r="T40" s="403">
        <f>+P41+P43+P45+P47</f>
        <v>10801.5</v>
      </c>
      <c r="U40" s="404">
        <f>+P63+P65+P67</f>
        <v>53775.44</v>
      </c>
      <c r="V40" s="134"/>
      <c r="Z40" s="651">
        <f>+T40-U40</f>
        <v>-42973.94</v>
      </c>
      <c r="AC40" s="879" t="s">
        <v>190</v>
      </c>
      <c r="AD40" s="847"/>
      <c r="AE40" s="880"/>
      <c r="GY40" s="6" t="s">
        <v>36</v>
      </c>
      <c r="GZ40" s="89">
        <v>12</v>
      </c>
      <c r="HE40" s="10"/>
      <c r="HF40" s="118"/>
      <c r="HL40" s="116"/>
      <c r="HM40" s="117"/>
      <c r="HN40" s="118"/>
      <c r="HO40" s="118"/>
      <c r="HR40" s="122">
        <f>'DADOS DOS EMPREENDIMENTOS'!A26</f>
        <v>0</v>
      </c>
      <c r="HS40" s="118">
        <f>'DADOS DOS EMPREENDIMENTOS'!B26</f>
        <v>0</v>
      </c>
      <c r="HT40" s="123">
        <f>'DADOS DOS EMPREENDIMENTOS'!C26</f>
        <v>0</v>
      </c>
      <c r="IC40" s="110"/>
      <c r="ID40" s="119"/>
      <c r="IE40" s="110"/>
    </row>
    <row r="41" spans="1:239" ht="38.25" hidden="1" customHeight="1" x14ac:dyDescent="0.2">
      <c r="A41" s="704">
        <f>VLOOKUP(D41,$GY$38:$GZ$47,2,FALSE)</f>
        <v>1</v>
      </c>
      <c r="B41" s="868"/>
      <c r="C41" s="869"/>
      <c r="D41" s="135" t="str">
        <f>+fluxos!A4</f>
        <v>Entrada</v>
      </c>
      <c r="E41" s="743">
        <f>+fluxos!B4</f>
        <v>0</v>
      </c>
      <c r="F41" s="743"/>
      <c r="G41" s="771">
        <f ca="1">I12</f>
        <v>43809</v>
      </c>
      <c r="H41" s="771"/>
      <c r="I41" s="771"/>
      <c r="J41" s="743">
        <f>HLOOKUP(CONCATENATE($G$4,J40),fluxos!$B$2:$Y$13,3,FALSE)</f>
        <v>1</v>
      </c>
      <c r="K41" s="743"/>
      <c r="L41" s="743"/>
      <c r="M41" s="759">
        <f>S6*S41/J41</f>
        <v>2160.3000000000002</v>
      </c>
      <c r="N41" s="760"/>
      <c r="O41" s="761"/>
      <c r="P41" s="785">
        <f>M41*J41</f>
        <v>2160.3000000000002</v>
      </c>
      <c r="Q41" s="785"/>
      <c r="R41" s="785"/>
      <c r="S41" s="398">
        <f>HLOOKUP(CONCATENATE($G$4,S40),fluxos!$B$2:$Y$13,3,FALSE)</f>
        <v>0.01</v>
      </c>
      <c r="T41" s="395">
        <f>P41+P43+P45</f>
        <v>10801.5</v>
      </c>
      <c r="U41" s="396">
        <f>P63</f>
        <v>51275.44</v>
      </c>
      <c r="V41" s="136"/>
      <c r="Z41" s="651">
        <f>+P63+P65+P67</f>
        <v>53775.44</v>
      </c>
      <c r="AC41" s="877">
        <f ca="1">'Proposta 1 Via'!M16</f>
        <v>2160.3000000000002</v>
      </c>
      <c r="AD41" s="760"/>
      <c r="AE41" s="878"/>
      <c r="GY41" s="6" t="s">
        <v>283</v>
      </c>
      <c r="HE41" s="10"/>
      <c r="HF41" s="118"/>
      <c r="HL41" s="116"/>
      <c r="HM41" s="117"/>
      <c r="HN41" s="118"/>
      <c r="HO41" s="118"/>
      <c r="HR41" s="122">
        <f>'DADOS DOS EMPREENDIMENTOS'!A27</f>
        <v>0</v>
      </c>
      <c r="HS41" s="118">
        <f>'DADOS DOS EMPREENDIMENTOS'!B27</f>
        <v>0</v>
      </c>
      <c r="HT41" s="123">
        <f>'DADOS DOS EMPREENDIMENTOS'!C27</f>
        <v>0</v>
      </c>
      <c r="IC41" s="110"/>
      <c r="ID41" s="119"/>
      <c r="IE41" s="110"/>
    </row>
    <row r="42" spans="1:239" ht="19.5" hidden="1" customHeight="1" x14ac:dyDescent="0.2">
      <c r="A42" s="704"/>
      <c r="B42" s="868"/>
      <c r="C42" s="869"/>
      <c r="D42" s="391"/>
      <c r="E42" s="392"/>
      <c r="F42" s="392"/>
      <c r="G42" s="393"/>
      <c r="H42" s="393"/>
      <c r="I42" s="393"/>
      <c r="J42" s="392"/>
      <c r="K42" s="392"/>
      <c r="L42" s="392"/>
      <c r="M42" s="394"/>
      <c r="N42" s="394"/>
      <c r="O42" s="394"/>
      <c r="P42" s="394"/>
      <c r="Q42" s="394"/>
      <c r="R42" s="394"/>
      <c r="S42" s="399"/>
      <c r="T42" s="395">
        <f>P41+P43</f>
        <v>4320.6000000000004</v>
      </c>
      <c r="U42" s="397">
        <f>+P63+P65</f>
        <v>53775.44</v>
      </c>
      <c r="V42" s="136"/>
      <c r="Z42" s="652"/>
      <c r="AC42" s="389"/>
      <c r="AD42" s="388"/>
      <c r="AE42" s="390"/>
      <c r="GY42" s="6" t="s">
        <v>284</v>
      </c>
      <c r="HE42" s="10"/>
      <c r="HF42" s="118"/>
      <c r="HL42" s="116"/>
      <c r="HM42" s="117"/>
      <c r="HN42" s="118"/>
      <c r="HO42" s="118"/>
      <c r="HR42" s="122"/>
      <c r="HS42" s="118"/>
      <c r="HT42" s="123"/>
      <c r="IC42" s="110"/>
      <c r="ID42" s="119"/>
      <c r="IE42" s="110"/>
    </row>
    <row r="43" spans="1:239" ht="38.25" hidden="1" customHeight="1" x14ac:dyDescent="0.2">
      <c r="A43" s="704"/>
      <c r="B43" s="868"/>
      <c r="C43" s="869"/>
      <c r="D43" s="135" t="str">
        <f>+fluxos!A5</f>
        <v>Entrada</v>
      </c>
      <c r="E43" s="743">
        <f>+fluxos!B5</f>
        <v>1</v>
      </c>
      <c r="F43" s="743"/>
      <c r="G43" s="771">
        <f ca="1">DATE(YEAR(G41),MONTH(G41)+(E43-E41),DAY(G41))</f>
        <v>43840</v>
      </c>
      <c r="H43" s="771"/>
      <c r="I43" s="771"/>
      <c r="J43" s="743">
        <f>HLOOKUP(CONCATENATE($G$4,J40),fluxos!$B$2:$Y$13,4,FALSE)</f>
        <v>1</v>
      </c>
      <c r="K43" s="743"/>
      <c r="L43" s="743"/>
      <c r="M43" s="759">
        <f>S6*S43/J43</f>
        <v>2160.3000000000002</v>
      </c>
      <c r="N43" s="760"/>
      <c r="O43" s="761"/>
      <c r="P43" s="785">
        <f>M43*J43</f>
        <v>2160.3000000000002</v>
      </c>
      <c r="Q43" s="785"/>
      <c r="R43" s="785"/>
      <c r="S43" s="398">
        <f>HLOOKUP(CONCATENATE($G$4,S40),fluxos!$B$2:$Y$13,4,FALSE)</f>
        <v>0.01</v>
      </c>
      <c r="T43" s="397">
        <f>T42-U41</f>
        <v>-46954.840000000004</v>
      </c>
      <c r="U43" s="89" t="str">
        <f>IF(T43&lt;0,"0",T43)</f>
        <v>0</v>
      </c>
      <c r="V43" s="136"/>
      <c r="Z43" s="651">
        <f>+T41-Z41</f>
        <v>-42973.94</v>
      </c>
      <c r="AC43" s="877">
        <f ca="1">'Proposta 1 Via'!M17</f>
        <v>2144.8414343210025</v>
      </c>
      <c r="AD43" s="760"/>
      <c r="AE43" s="878"/>
      <c r="GY43" s="6"/>
      <c r="HE43" s="10"/>
      <c r="HF43" s="118"/>
      <c r="HL43" s="116"/>
      <c r="HM43" s="117"/>
      <c r="HN43" s="118"/>
      <c r="HO43" s="118"/>
      <c r="HR43" s="122"/>
      <c r="HS43" s="118"/>
      <c r="HT43" s="123"/>
      <c r="IC43" s="110"/>
      <c r="ID43" s="119"/>
      <c r="IE43" s="110"/>
    </row>
    <row r="44" spans="1:239" ht="21.75" hidden="1" customHeight="1" x14ac:dyDescent="0.2">
      <c r="A44" s="704"/>
      <c r="B44" s="868"/>
      <c r="C44" s="869"/>
      <c r="D44" s="391"/>
      <c r="E44" s="392"/>
      <c r="F44" s="392"/>
      <c r="G44" s="393"/>
      <c r="H44" s="393"/>
      <c r="I44" s="393"/>
      <c r="J44" s="392"/>
      <c r="K44" s="392"/>
      <c r="L44" s="392"/>
      <c r="M44" s="394"/>
      <c r="N44" s="394"/>
      <c r="O44" s="394"/>
      <c r="P44" s="394"/>
      <c r="Q44" s="394"/>
      <c r="R44" s="394"/>
      <c r="S44" s="399"/>
      <c r="U44" s="110"/>
      <c r="V44" s="136"/>
      <c r="Z44" s="652"/>
      <c r="AC44" s="389"/>
      <c r="AD44" s="388"/>
      <c r="AE44" s="390"/>
      <c r="GY44" s="6"/>
      <c r="HE44" s="10"/>
      <c r="HF44" s="118"/>
      <c r="HL44" s="116"/>
      <c r="HM44" s="117"/>
      <c r="HN44" s="118"/>
      <c r="HO44" s="118"/>
      <c r="HR44" s="122"/>
      <c r="HS44" s="118"/>
      <c r="HT44" s="123"/>
      <c r="IC44" s="110"/>
      <c r="ID44" s="119"/>
      <c r="IE44" s="110"/>
    </row>
    <row r="45" spans="1:239" ht="38.25" hidden="1" customHeight="1" x14ac:dyDescent="0.2">
      <c r="A45" s="704"/>
      <c r="B45" s="868"/>
      <c r="C45" s="869"/>
      <c r="D45" s="135" t="str">
        <f>+fluxos!A6</f>
        <v>Entrada</v>
      </c>
      <c r="E45" s="743">
        <f>+fluxos!B6</f>
        <v>2</v>
      </c>
      <c r="F45" s="743"/>
      <c r="G45" s="771">
        <f ca="1">DATE(YEAR(G41),MONTH(G41)+(E45-E41),DAY(G41))</f>
        <v>43871</v>
      </c>
      <c r="H45" s="771"/>
      <c r="I45" s="771"/>
      <c r="J45" s="743">
        <f>HLOOKUP(CONCATENATE($G$4,J40),fluxos!$B$2:$Y$13,5,FALSE)</f>
        <v>3</v>
      </c>
      <c r="K45" s="743"/>
      <c r="L45" s="743"/>
      <c r="M45" s="759">
        <f>S6*S45/J45</f>
        <v>2160.2999999999997</v>
      </c>
      <c r="N45" s="760"/>
      <c r="O45" s="761"/>
      <c r="P45" s="785">
        <f>M45*J45</f>
        <v>6480.9</v>
      </c>
      <c r="Q45" s="785"/>
      <c r="R45" s="785"/>
      <c r="S45" s="398">
        <f>HLOOKUP(CONCATENATE($G$4,S40),fluxos!$B$2:$Y$13,5,FALSE)</f>
        <v>0.03</v>
      </c>
      <c r="T45" s="395">
        <f>+P41+P43+P45</f>
        <v>10801.5</v>
      </c>
      <c r="U45" s="397">
        <f>T45-U42</f>
        <v>-42973.94</v>
      </c>
      <c r="V45" s="136"/>
      <c r="Z45" s="651">
        <f>(+Z40-P69)/E69</f>
        <v>-15324.646666666667</v>
      </c>
      <c r="AC45" s="877">
        <f ca="1">'Proposta 1 Via'!M18</f>
        <v>6342.8751330317982</v>
      </c>
      <c r="AD45" s="760"/>
      <c r="AE45" s="878"/>
      <c r="GY45" s="6"/>
      <c r="HE45" s="10"/>
      <c r="HF45" s="118"/>
      <c r="HL45" s="116"/>
      <c r="HM45" s="117"/>
      <c r="HN45" s="118"/>
      <c r="HO45" s="118"/>
      <c r="HR45" s="122"/>
      <c r="HS45" s="118"/>
      <c r="HT45" s="123"/>
      <c r="IC45" s="110"/>
      <c r="ID45" s="119"/>
      <c r="IE45" s="110"/>
    </row>
    <row r="46" spans="1:239" ht="29.25" hidden="1" customHeight="1" x14ac:dyDescent="0.2">
      <c r="A46" s="704"/>
      <c r="B46" s="868"/>
      <c r="C46" s="869"/>
      <c r="D46" s="137"/>
      <c r="E46" s="110"/>
      <c r="F46" s="110"/>
      <c r="G46" s="110"/>
      <c r="H46" s="873"/>
      <c r="I46" s="873"/>
      <c r="J46" s="864"/>
      <c r="K46" s="864"/>
      <c r="L46" s="864"/>
      <c r="M46" s="839"/>
      <c r="N46" s="839"/>
      <c r="O46" s="140"/>
      <c r="P46" s="839"/>
      <c r="Q46" s="839"/>
      <c r="R46" s="110"/>
      <c r="S46" s="398"/>
      <c r="U46" s="623">
        <f>U45/3</f>
        <v>-14324.646666666667</v>
      </c>
      <c r="V46" s="136"/>
      <c r="Z46" s="651">
        <f>+Z45+G69</f>
        <v>-14324.646666666667</v>
      </c>
      <c r="AC46" s="838"/>
      <c r="AD46" s="839"/>
      <c r="AE46" s="142"/>
      <c r="GY46" s="6"/>
      <c r="HE46" s="10"/>
      <c r="HF46" s="10"/>
      <c r="HL46" s="116"/>
      <c r="HM46" s="117"/>
      <c r="HN46" s="118"/>
      <c r="HO46" s="118"/>
      <c r="HR46" s="122">
        <f>'DADOS DOS EMPREENDIMENTOS'!A28</f>
        <v>0</v>
      </c>
      <c r="HS46" s="118">
        <f>'DADOS DOS EMPREENDIMENTOS'!B28</f>
        <v>0</v>
      </c>
      <c r="HT46" s="123">
        <f>'DADOS DOS EMPREENDIMENTOS'!C28</f>
        <v>0</v>
      </c>
      <c r="IC46" s="110"/>
      <c r="ID46" s="119"/>
      <c r="IE46" s="110"/>
    </row>
    <row r="47" spans="1:239" ht="38.25" hidden="1" customHeight="1" x14ac:dyDescent="0.2">
      <c r="A47" s="704">
        <f>VLOOKUP(D47,$GY$38:$GZ$47,2,FALSE)</f>
        <v>12</v>
      </c>
      <c r="B47" s="868"/>
      <c r="C47" s="869"/>
      <c r="D47" s="143" t="str">
        <f>+fluxos!A7</f>
        <v>Anual</v>
      </c>
      <c r="E47" s="1019">
        <f>+fluxos!B7</f>
        <v>0</v>
      </c>
      <c r="F47" s="1020"/>
      <c r="G47" s="1021">
        <f ca="1">DATE(YEAR(G41),MONTH(G41)+(E47-E41),DAY(G41))</f>
        <v>43809</v>
      </c>
      <c r="H47" s="1022"/>
      <c r="I47" s="1023"/>
      <c r="J47" s="1019">
        <v>3</v>
      </c>
      <c r="K47" s="1024"/>
      <c r="L47" s="1020"/>
      <c r="M47" s="759">
        <v>0</v>
      </c>
      <c r="N47" s="760"/>
      <c r="O47" s="761"/>
      <c r="P47" s="759">
        <f>M47*J47</f>
        <v>0</v>
      </c>
      <c r="Q47" s="760"/>
      <c r="R47" s="761"/>
      <c r="S47" s="398">
        <f>HLOOKUP(CONCATENATE($G$4,S40),fluxos!$B$2:$Y$13,6,FALSE)</f>
        <v>0</v>
      </c>
      <c r="U47" s="110"/>
      <c r="V47" s="136"/>
      <c r="Z47" s="652"/>
      <c r="AC47" s="877">
        <f ca="1">'Proposta 1 Via'!M19</f>
        <v>0</v>
      </c>
      <c r="AD47" s="760"/>
      <c r="AE47" s="878"/>
      <c r="GY47" s="89" t="s">
        <v>185</v>
      </c>
      <c r="GZ47" s="89">
        <v>1</v>
      </c>
      <c r="HE47" s="10"/>
      <c r="HF47" s="10"/>
      <c r="HL47" s="116"/>
      <c r="HM47" s="117"/>
      <c r="HN47" s="118"/>
      <c r="HO47" s="118"/>
      <c r="HR47" s="122">
        <f>'DADOS DOS EMPREENDIMENTOS'!A29</f>
        <v>0</v>
      </c>
      <c r="HS47" s="118">
        <f>'DADOS DOS EMPREENDIMENTOS'!B29</f>
        <v>0</v>
      </c>
      <c r="HT47" s="123">
        <f>'DADOS DOS EMPREENDIMENTOS'!C29</f>
        <v>0</v>
      </c>
      <c r="IC47" s="110"/>
      <c r="ID47" s="119"/>
      <c r="IE47" s="110"/>
    </row>
    <row r="48" spans="1:239" ht="19.5" hidden="1" customHeight="1" x14ac:dyDescent="0.2">
      <c r="A48" s="704"/>
      <c r="B48" s="868"/>
      <c r="C48" s="869"/>
      <c r="D48" s="137"/>
      <c r="E48" s="110"/>
      <c r="F48" s="110"/>
      <c r="G48" s="110"/>
      <c r="H48" s="873"/>
      <c r="I48" s="873"/>
      <c r="J48" s="864"/>
      <c r="K48" s="864"/>
      <c r="L48" s="864"/>
      <c r="M48" s="839"/>
      <c r="N48" s="839"/>
      <c r="O48" s="140"/>
      <c r="P48" s="839"/>
      <c r="Q48" s="839"/>
      <c r="R48" s="110"/>
      <c r="S48" s="398"/>
      <c r="U48" s="110"/>
      <c r="V48" s="136"/>
      <c r="Z48" s="652"/>
      <c r="AC48" s="838"/>
      <c r="AD48" s="839"/>
      <c r="AE48" s="142"/>
      <c r="HE48" s="10"/>
      <c r="HF48" s="10"/>
      <c r="HL48" s="116"/>
      <c r="HM48" s="117"/>
      <c r="HN48" s="118"/>
      <c r="HO48" s="118"/>
      <c r="HR48" s="122">
        <f>'DADOS DOS EMPREENDIMENTOS'!A30</f>
        <v>0</v>
      </c>
      <c r="HS48" s="118">
        <f>'DADOS DOS EMPREENDIMENTOS'!B30</f>
        <v>0</v>
      </c>
      <c r="HT48" s="123">
        <f>'DADOS DOS EMPREENDIMENTOS'!C30</f>
        <v>0</v>
      </c>
      <c r="IC48" s="110"/>
      <c r="ID48" s="119"/>
      <c r="IE48" s="110"/>
    </row>
    <row r="49" spans="1:239" ht="38.25" hidden="1" customHeight="1" x14ac:dyDescent="0.2">
      <c r="A49" s="704">
        <f>VLOOKUP(D49,$GY$38:$GZ$47,2,FALSE)</f>
        <v>0</v>
      </c>
      <c r="B49" s="868"/>
      <c r="C49" s="869"/>
      <c r="D49" s="143" t="str">
        <f>+fluxos!A8</f>
        <v>Mensal 1</v>
      </c>
      <c r="E49" s="1016">
        <f>+fluxos!B8</f>
        <v>0</v>
      </c>
      <c r="F49" s="1017"/>
      <c r="G49" s="1021">
        <f ca="1">DATE(YEAR(G47),MONTH(G47)+(E49-E47),DAY(G47))</f>
        <v>43809</v>
      </c>
      <c r="H49" s="1022"/>
      <c r="I49" s="1023"/>
      <c r="J49" s="1019">
        <f>HLOOKUP(CONCATENATE($G$4,J40),fluxos!$B$2:$Y$13,7,FALSE)</f>
        <v>0</v>
      </c>
      <c r="K49" s="1024"/>
      <c r="L49" s="1020"/>
      <c r="M49" s="759">
        <v>0</v>
      </c>
      <c r="N49" s="760"/>
      <c r="O49" s="761"/>
      <c r="P49" s="759">
        <f>M49*J49</f>
        <v>0</v>
      </c>
      <c r="Q49" s="760"/>
      <c r="R49" s="761"/>
      <c r="S49" s="398">
        <f>HLOOKUP(CONCATENATE($G$4,S40),fluxos!$B$2:$Y$13,7,FALSE)</f>
        <v>0</v>
      </c>
      <c r="U49" s="110"/>
      <c r="V49" s="136"/>
      <c r="Z49" s="653">
        <f>S6*10%/20</f>
        <v>1080.1500000000001</v>
      </c>
      <c r="AC49" s="877">
        <f ca="1">'Proposta 1 Via'!M20</f>
        <v>0</v>
      </c>
      <c r="AD49" s="760"/>
      <c r="AE49" s="878"/>
      <c r="HE49" s="10"/>
      <c r="HF49" s="10"/>
      <c r="HL49" s="116"/>
      <c r="HM49" s="117"/>
      <c r="HN49" s="118"/>
      <c r="HO49" s="118"/>
      <c r="HR49" s="122">
        <f>'DADOS DOS EMPREENDIMENTOS'!A31</f>
        <v>0</v>
      </c>
      <c r="HS49" s="118">
        <f>'DADOS DOS EMPREENDIMENTOS'!B31</f>
        <v>0</v>
      </c>
      <c r="HT49" s="123">
        <f>'DADOS DOS EMPREENDIMENTOS'!C31</f>
        <v>0</v>
      </c>
      <c r="IC49" s="110"/>
      <c r="ID49" s="119"/>
      <c r="IE49" s="110"/>
    </row>
    <row r="50" spans="1:239" ht="19.5" hidden="1" customHeight="1" x14ac:dyDescent="0.2">
      <c r="A50" s="704"/>
      <c r="B50" s="868"/>
      <c r="C50" s="869"/>
      <c r="D50" s="137"/>
      <c r="E50" s="110"/>
      <c r="F50" s="110"/>
      <c r="G50" s="110"/>
      <c r="H50" s="138"/>
      <c r="I50" s="138"/>
      <c r="J50" s="139"/>
      <c r="K50" s="139"/>
      <c r="L50" s="139"/>
      <c r="M50" s="140"/>
      <c r="N50" s="140"/>
      <c r="O50" s="140"/>
      <c r="P50" s="140"/>
      <c r="Q50" s="140"/>
      <c r="R50" s="110"/>
      <c r="S50" s="398"/>
      <c r="U50" s="110"/>
      <c r="V50" s="136"/>
      <c r="W50" s="152"/>
      <c r="Z50" s="654"/>
      <c r="AC50" s="141"/>
      <c r="AD50" s="140"/>
      <c r="AE50" s="142"/>
      <c r="HE50" s="10"/>
      <c r="HF50" s="10"/>
      <c r="HL50" s="116"/>
      <c r="HM50" s="117"/>
      <c r="HN50" s="118"/>
      <c r="HO50" s="118"/>
      <c r="HR50" s="122">
        <f>'DADOS DOS EMPREENDIMENTOS'!A32</f>
        <v>0</v>
      </c>
      <c r="HS50" s="118">
        <f>'DADOS DOS EMPREENDIMENTOS'!B32</f>
        <v>0</v>
      </c>
      <c r="HT50" s="123">
        <f>'DADOS DOS EMPREENDIMENTOS'!C32</f>
        <v>0</v>
      </c>
      <c r="IC50" s="110"/>
      <c r="ID50" s="119"/>
      <c r="IE50" s="110"/>
    </row>
    <row r="51" spans="1:239" ht="38.25" hidden="1" customHeight="1" x14ac:dyDescent="0.2">
      <c r="A51" s="704">
        <f>VLOOKUP(D51,$GY$38:$GZ$47,2,FALSE)</f>
        <v>0</v>
      </c>
      <c r="B51" s="868"/>
      <c r="C51" s="869"/>
      <c r="D51" s="143" t="str">
        <f>+fluxos!A9</f>
        <v>Mensal 2</v>
      </c>
      <c r="E51" s="872">
        <f>+fluxos!B9</f>
        <v>5</v>
      </c>
      <c r="F51" s="872"/>
      <c r="G51" s="771">
        <f ca="1">DATE(YEAR(G49),MONTH(G49)+(E51-E49),DAY(G49))</f>
        <v>43961</v>
      </c>
      <c r="H51" s="771"/>
      <c r="I51" s="771"/>
      <c r="J51" s="743">
        <f>HLOOKUP(CONCATENATE($G$4,J40),fluxos!$B$2:$Y$13,8,FALSE)</f>
        <v>1</v>
      </c>
      <c r="K51" s="743"/>
      <c r="L51" s="743"/>
      <c r="M51" s="785">
        <f>(S6*S51)/J51</f>
        <v>32188.469999999998</v>
      </c>
      <c r="N51" s="785"/>
      <c r="O51" s="785"/>
      <c r="P51" s="785">
        <f>M51*J51</f>
        <v>32188.469999999998</v>
      </c>
      <c r="Q51" s="785"/>
      <c r="R51" s="785"/>
      <c r="S51" s="400">
        <f>HLOOKUP(CONCATENATE($G$4,S40),fluxos!$B$2:$Y$13,8,FALSE)</f>
        <v>0.14899999999999999</v>
      </c>
      <c r="U51" s="110"/>
      <c r="V51" s="136"/>
      <c r="W51" s="550">
        <f>S6*2%</f>
        <v>4320.6000000000004</v>
      </c>
      <c r="Z51" s="653">
        <f>S6*4.5%/2</f>
        <v>4860.6750000000002</v>
      </c>
      <c r="AC51" s="877">
        <f ca="1">'Proposta 1 Via'!M21</f>
        <v>31276.981609002039</v>
      </c>
      <c r="AD51" s="760"/>
      <c r="AE51" s="878"/>
      <c r="HE51" s="10"/>
      <c r="HF51" s="10"/>
      <c r="HL51" s="116"/>
      <c r="HM51" s="117"/>
      <c r="HN51" s="118"/>
      <c r="HO51" s="118"/>
      <c r="HR51" s="122">
        <f>'DADOS DOS EMPREENDIMENTOS'!A33</f>
        <v>0</v>
      </c>
      <c r="HS51" s="118">
        <f>'DADOS DOS EMPREENDIMENTOS'!B33</f>
        <v>0</v>
      </c>
      <c r="HT51" s="123">
        <f>'DADOS DOS EMPREENDIMENTOS'!C33</f>
        <v>0</v>
      </c>
      <c r="IC51" s="110"/>
      <c r="ID51" s="119"/>
      <c r="IE51" s="110"/>
    </row>
    <row r="52" spans="1:239" ht="19.5" hidden="1" customHeight="1" x14ac:dyDescent="0.2">
      <c r="A52" s="704"/>
      <c r="B52" s="868"/>
      <c r="C52" s="869"/>
      <c r="D52" s="137"/>
      <c r="E52" s="110"/>
      <c r="F52" s="110"/>
      <c r="G52" s="110"/>
      <c r="H52" s="873"/>
      <c r="I52" s="873"/>
      <c r="J52" s="864"/>
      <c r="K52" s="864"/>
      <c r="L52" s="864"/>
      <c r="M52" s="839"/>
      <c r="N52" s="839"/>
      <c r="O52" s="140"/>
      <c r="P52" s="839"/>
      <c r="Q52" s="839"/>
      <c r="R52" s="110"/>
      <c r="S52" s="398"/>
      <c r="U52" s="110"/>
      <c r="V52" s="136"/>
      <c r="Z52" s="652"/>
      <c r="AC52" s="838"/>
      <c r="AD52" s="839"/>
      <c r="AE52" s="142"/>
      <c r="HE52" s="10"/>
      <c r="HF52" s="10"/>
      <c r="HL52" s="116"/>
      <c r="HM52" s="117"/>
      <c r="HN52" s="118"/>
      <c r="HO52" s="118"/>
      <c r="HR52" s="122">
        <f>'DADOS DOS EMPREENDIMENTOS'!A34</f>
        <v>0</v>
      </c>
      <c r="HS52" s="118">
        <f>'DADOS DOS EMPREENDIMENTOS'!B34</f>
        <v>0</v>
      </c>
      <c r="HT52" s="123">
        <f>'DADOS DOS EMPREENDIMENTOS'!C34</f>
        <v>0</v>
      </c>
      <c r="IC52" s="110"/>
      <c r="ID52" s="119"/>
      <c r="IE52" s="110"/>
    </row>
    <row r="53" spans="1:239" ht="38.25" hidden="1" customHeight="1" x14ac:dyDescent="0.2">
      <c r="A53" s="704" t="e">
        <f>VLOOKUP(D53,$GY$38:$GZ$47,2,FALSE)</f>
        <v>#N/A</v>
      </c>
      <c r="B53" s="868"/>
      <c r="C53" s="869"/>
      <c r="D53" s="135" t="str">
        <f>+fluxos!A10</f>
        <v>Chaves</v>
      </c>
      <c r="E53" s="872">
        <f>+fluxos!B10</f>
        <v>36</v>
      </c>
      <c r="F53" s="872"/>
      <c r="G53" s="771">
        <f ca="1">DATE(YEAR(G51),MONTH(G51)+(E53-E51),DAY(G51))</f>
        <v>44905</v>
      </c>
      <c r="H53" s="771"/>
      <c r="I53" s="771"/>
      <c r="J53" s="743">
        <f>HLOOKUP(CONCATENATE($G$4,J40),fluxos!$B$2:$Y$13,9,FALSE)</f>
        <v>1</v>
      </c>
      <c r="K53" s="743"/>
      <c r="L53" s="743"/>
      <c r="M53" s="759">
        <f>(S6*S53)</f>
        <v>216.03</v>
      </c>
      <c r="N53" s="760"/>
      <c r="O53" s="761"/>
      <c r="P53" s="785">
        <f>M53*J53</f>
        <v>216.03</v>
      </c>
      <c r="Q53" s="785"/>
      <c r="R53" s="785"/>
      <c r="S53" s="400">
        <f>HLOOKUP(CONCATENATE($G$4,S40),fluxos!$B$2:$Y$13,9,FALSE)</f>
        <v>1E-3</v>
      </c>
      <c r="U53" s="110"/>
      <c r="V53" s="136"/>
      <c r="Z53" s="653">
        <f>S6*4.5%</f>
        <v>9721.35</v>
      </c>
      <c r="AC53" s="877">
        <f ca="1">'Proposta 1 Via'!M22</f>
        <v>209.91262824833584</v>
      </c>
      <c r="AD53" s="760"/>
      <c r="AE53" s="878"/>
      <c r="HE53" s="10"/>
      <c r="HF53" s="10"/>
      <c r="HL53" s="116"/>
      <c r="HM53" s="117"/>
      <c r="HN53" s="118"/>
      <c r="HO53" s="118"/>
      <c r="HR53" s="122">
        <f>'DADOS DOS EMPREENDIMENTOS'!A35</f>
        <v>0</v>
      </c>
      <c r="HS53" s="118">
        <f>'DADOS DOS EMPREENDIMENTOS'!B35</f>
        <v>0</v>
      </c>
      <c r="HT53" s="123">
        <f>'DADOS DOS EMPREENDIMENTOS'!C35</f>
        <v>0</v>
      </c>
      <c r="IC53" s="110"/>
      <c r="ID53" s="119"/>
      <c r="IE53" s="110"/>
    </row>
    <row r="54" spans="1:239" ht="19.5" hidden="1" customHeight="1" x14ac:dyDescent="0.2">
      <c r="A54" s="704"/>
      <c r="B54" s="868"/>
      <c r="C54" s="869"/>
      <c r="D54" s="137"/>
      <c r="E54" s="110"/>
      <c r="F54" s="110"/>
      <c r="G54" s="110"/>
      <c r="H54" s="138"/>
      <c r="I54" s="138"/>
      <c r="J54" s="139"/>
      <c r="K54" s="139"/>
      <c r="L54" s="139"/>
      <c r="M54" s="140"/>
      <c r="N54" s="140"/>
      <c r="O54" s="140"/>
      <c r="P54" s="140"/>
      <c r="Q54" s="140"/>
      <c r="R54" s="110"/>
      <c r="U54" s="110"/>
      <c r="V54" s="136"/>
      <c r="Z54" s="294"/>
      <c r="AC54" s="141"/>
      <c r="AD54" s="140"/>
      <c r="AE54" s="142"/>
      <c r="HE54" s="10"/>
      <c r="HF54" s="10"/>
      <c r="HL54" s="116"/>
      <c r="HM54" s="117"/>
      <c r="HN54" s="118"/>
      <c r="HO54" s="118"/>
      <c r="HR54" s="122"/>
      <c r="HS54" s="118"/>
      <c r="HT54" s="123"/>
      <c r="IC54" s="110"/>
      <c r="ID54" s="119"/>
      <c r="IE54" s="110"/>
    </row>
    <row r="55" spans="1:239" ht="38.25" hidden="1" customHeight="1" x14ac:dyDescent="0.2">
      <c r="A55" s="704">
        <v>1</v>
      </c>
      <c r="B55" s="868"/>
      <c r="C55" s="869"/>
      <c r="D55" s="135" t="str">
        <f>+fluxos!A11</f>
        <v>Repasse</v>
      </c>
      <c r="E55" s="1018">
        <f>'Premissas e Calculos'!J30</f>
        <v>4</v>
      </c>
      <c r="F55" s="1018"/>
      <c r="G55" s="771">
        <f ca="1">DATE(YEAR(G41),MONTH(G41)+(E55-E41)+0,DAY(G41))</f>
        <v>43931</v>
      </c>
      <c r="H55" s="771"/>
      <c r="I55" s="771"/>
      <c r="J55" s="743">
        <v>1</v>
      </c>
      <c r="K55" s="743"/>
      <c r="L55" s="743"/>
      <c r="M55" s="1029">
        <f>S6-P41-P43-P45-P47-P49-P51-P53</f>
        <v>172824.00000000003</v>
      </c>
      <c r="N55" s="1029"/>
      <c r="O55" s="1029"/>
      <c r="P55" s="785">
        <f>M55*J55</f>
        <v>172824.00000000003</v>
      </c>
      <c r="Q55" s="785"/>
      <c r="R55" s="785"/>
      <c r="S55" s="400">
        <f>+M55/S6</f>
        <v>0.80000000000000016</v>
      </c>
      <c r="U55" s="110"/>
      <c r="V55" s="136"/>
      <c r="Z55" s="294"/>
      <c r="AC55" s="877">
        <f ca="1">'Proposta 1 Via'!M23</f>
        <v>167930.10259866869</v>
      </c>
      <c r="AD55" s="760"/>
      <c r="AE55" s="878"/>
      <c r="HE55" s="10"/>
      <c r="HF55" s="10"/>
      <c r="HL55" s="116"/>
      <c r="HM55" s="117"/>
      <c r="HN55" s="118"/>
      <c r="HO55" s="118"/>
      <c r="HR55" s="122">
        <f>'DADOS DOS EMPREENDIMENTOS'!A35</f>
        <v>0</v>
      </c>
      <c r="HS55" s="118">
        <f>'DADOS DOS EMPREENDIMENTOS'!B35</f>
        <v>0</v>
      </c>
      <c r="HT55" s="123">
        <f>'DADOS DOS EMPREENDIMENTOS'!C35</f>
        <v>0</v>
      </c>
      <c r="IC55" s="110"/>
      <c r="ID55" s="119"/>
      <c r="IE55" s="110"/>
    </row>
    <row r="56" spans="1:239" ht="19.5" hidden="1" customHeight="1" x14ac:dyDescent="0.2">
      <c r="A56" s="704"/>
      <c r="B56" s="868"/>
      <c r="C56" s="869"/>
      <c r="D56" s="144"/>
      <c r="E56" s="110"/>
      <c r="F56" s="110"/>
      <c r="G56" s="110"/>
      <c r="H56" s="144"/>
      <c r="I56" s="145"/>
      <c r="J56" s="144"/>
      <c r="K56" s="144"/>
      <c r="L56" s="145"/>
      <c r="M56" s="144"/>
      <c r="N56" s="144"/>
      <c r="O56" s="110"/>
      <c r="P56" s="119"/>
      <c r="Q56" s="119"/>
      <c r="R56" s="110"/>
      <c r="U56" s="110"/>
      <c r="V56" s="136"/>
      <c r="Z56" s="294"/>
      <c r="AC56" s="146"/>
      <c r="AD56" s="145"/>
      <c r="AE56" s="147"/>
      <c r="HE56" s="10"/>
      <c r="HF56" s="10"/>
      <c r="HL56" s="116"/>
      <c r="HM56" s="117"/>
      <c r="HN56" s="118"/>
      <c r="HO56" s="118"/>
      <c r="HR56" s="122">
        <f>'DADOS DOS EMPREENDIMENTOS'!A36</f>
        <v>0</v>
      </c>
      <c r="HS56" s="118">
        <f>'DADOS DOS EMPREENDIMENTOS'!B36</f>
        <v>0</v>
      </c>
      <c r="HT56" s="123">
        <f>'DADOS DOS EMPREENDIMENTOS'!C36</f>
        <v>0</v>
      </c>
      <c r="IC56" s="110"/>
      <c r="ID56" s="119"/>
      <c r="IE56" s="110"/>
    </row>
    <row r="57" spans="1:239" ht="38.25" hidden="1" customHeight="1" x14ac:dyDescent="0.2">
      <c r="A57" s="704"/>
      <c r="B57" s="868"/>
      <c r="C57" s="869"/>
      <c r="D57" s="144"/>
      <c r="E57" s="110"/>
      <c r="F57" s="110"/>
      <c r="G57" s="110">
        <v>3</v>
      </c>
      <c r="H57" s="1028">
        <v>4</v>
      </c>
      <c r="I57" s="1028"/>
      <c r="J57" s="591">
        <v>7</v>
      </c>
      <c r="K57" s="592">
        <f>P57*1.7%</f>
        <v>3672.51</v>
      </c>
      <c r="L57" s="110"/>
      <c r="M57" s="762" t="s">
        <v>69</v>
      </c>
      <c r="N57" s="762"/>
      <c r="O57" s="762"/>
      <c r="P57" s="785">
        <f>SUM(P55,P43,P45,P51,P49,P47,P41,P53)</f>
        <v>216030</v>
      </c>
      <c r="Q57" s="785"/>
      <c r="R57" s="785"/>
      <c r="U57" s="110"/>
      <c r="V57" s="136"/>
      <c r="Z57" s="294"/>
      <c r="AC57" s="874">
        <f ca="1">SUM(AC55,AC51,AC49,AC47,AC41,AC43,AC45,AC53)</f>
        <v>210065.01340327185</v>
      </c>
      <c r="AD57" s="875"/>
      <c r="AE57" s="876"/>
      <c r="HE57" s="10"/>
      <c r="HF57" s="10"/>
      <c r="HL57" s="116"/>
      <c r="HM57" s="117"/>
      <c r="HN57" s="118"/>
      <c r="HO57" s="118"/>
      <c r="HR57" s="122">
        <f>'DADOS DOS EMPREENDIMENTOS'!A37</f>
        <v>0</v>
      </c>
      <c r="HS57" s="118">
        <f>'DADOS DOS EMPREENDIMENTOS'!B37</f>
        <v>0</v>
      </c>
      <c r="HT57" s="123">
        <f>'DADOS DOS EMPREENDIMENTOS'!C37</f>
        <v>0</v>
      </c>
      <c r="IC57" s="110"/>
      <c r="ID57" s="119"/>
      <c r="IE57" s="110"/>
    </row>
    <row r="58" spans="1:239" ht="15" hidden="1" customHeight="1" x14ac:dyDescent="0.2">
      <c r="A58" s="704"/>
      <c r="B58" s="870"/>
      <c r="C58" s="871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9"/>
      <c r="Z58" s="294"/>
      <c r="HE58" s="10"/>
      <c r="HF58" s="10"/>
      <c r="HL58" s="116"/>
      <c r="HM58" s="117"/>
      <c r="HN58" s="118"/>
      <c r="HO58" s="118"/>
      <c r="HR58" s="122">
        <f>'DADOS DOS EMPREENDIMENTOS'!A38</f>
        <v>0</v>
      </c>
      <c r="HS58" s="118">
        <f>'DADOS DOS EMPREENDIMENTOS'!B38</f>
        <v>0</v>
      </c>
      <c r="HT58" s="123">
        <f>'DADOS DOS EMPREENDIMENTOS'!C38</f>
        <v>0</v>
      </c>
      <c r="IC58" s="110"/>
      <c r="ID58" s="119"/>
      <c r="IE58" s="110"/>
    </row>
    <row r="59" spans="1:239" ht="9.75" hidden="1" customHeight="1" thickBot="1" x14ac:dyDescent="0.25">
      <c r="A59" s="704"/>
      <c r="B59" s="775"/>
      <c r="C59" s="775"/>
      <c r="D59" s="775"/>
      <c r="E59" s="775"/>
      <c r="F59" s="775"/>
      <c r="G59" s="775"/>
      <c r="H59" s="775"/>
      <c r="I59" s="775"/>
      <c r="J59" s="775"/>
      <c r="K59" s="775"/>
      <c r="L59" s="775"/>
      <c r="M59" s="775"/>
      <c r="N59" s="775"/>
      <c r="O59" s="775"/>
      <c r="P59" s="775"/>
      <c r="Q59" s="775"/>
      <c r="R59" s="775"/>
      <c r="S59" s="775"/>
      <c r="T59" s="775"/>
      <c r="U59" s="775"/>
      <c r="V59" s="775"/>
      <c r="W59" s="775"/>
      <c r="Z59" s="294"/>
      <c r="HE59" s="10"/>
      <c r="HF59" s="10"/>
      <c r="HL59" s="116"/>
      <c r="HM59" s="117"/>
      <c r="HN59" s="118"/>
      <c r="HO59" s="118"/>
      <c r="HR59" s="122">
        <f>'DADOS DOS EMPREENDIMENTOS'!A39</f>
        <v>0</v>
      </c>
      <c r="HS59" s="118">
        <f>'DADOS DOS EMPREENDIMENTOS'!B39</f>
        <v>0</v>
      </c>
      <c r="HT59" s="123">
        <f>'DADOS DOS EMPREENDIMENTOS'!C39</f>
        <v>0</v>
      </c>
      <c r="IC59" s="110"/>
      <c r="ID59" s="119"/>
      <c r="IE59" s="110"/>
    </row>
    <row r="60" spans="1:239" ht="24" customHeight="1" x14ac:dyDescent="0.2">
      <c r="A60" s="704"/>
      <c r="B60" s="775"/>
      <c r="C60" s="775"/>
      <c r="D60" s="775"/>
      <c r="E60" s="775"/>
      <c r="F60" s="775"/>
      <c r="G60" s="775"/>
      <c r="H60" s="775"/>
      <c r="I60" s="775"/>
      <c r="J60" s="775"/>
      <c r="K60" s="775"/>
      <c r="L60" s="775"/>
      <c r="M60" s="775"/>
      <c r="N60" s="775"/>
      <c r="O60" s="775"/>
      <c r="P60" s="775"/>
      <c r="Q60" s="775"/>
      <c r="R60" s="775"/>
      <c r="S60" s="775"/>
      <c r="T60" s="775"/>
      <c r="U60" s="775"/>
      <c r="V60" s="775"/>
      <c r="W60" s="775"/>
      <c r="Z60" s="1025" t="e">
        <f>CONCATENATE("Valor da parcela para zerar o PV",IF(AJ112&gt;=AR112,".",""))</f>
        <v>#REF!</v>
      </c>
      <c r="HE60" s="10"/>
      <c r="HF60" s="10"/>
      <c r="HL60" s="116"/>
      <c r="HM60" s="117"/>
      <c r="HN60" s="118"/>
      <c r="HO60" s="118"/>
      <c r="HR60" s="122">
        <f>'DADOS DOS EMPREENDIMENTOS'!A40</f>
        <v>0</v>
      </c>
      <c r="HS60" s="118">
        <f>'DADOS DOS EMPREENDIMENTOS'!B40</f>
        <v>0</v>
      </c>
      <c r="HT60" s="123">
        <f>'DADOS DOS EMPREENDIMENTOS'!C40</f>
        <v>0</v>
      </c>
      <c r="IC60" s="110"/>
      <c r="ID60" s="119"/>
      <c r="IE60" s="110"/>
    </row>
    <row r="61" spans="1:239" ht="15" customHeight="1" x14ac:dyDescent="0.2">
      <c r="A61" s="150"/>
      <c r="B61" s="998" t="s">
        <v>260</v>
      </c>
      <c r="C61" s="999"/>
      <c r="D61" s="151"/>
      <c r="E61" s="763" t="s">
        <v>187</v>
      </c>
      <c r="F61" s="763"/>
      <c r="G61" s="763" t="s">
        <v>189</v>
      </c>
      <c r="H61" s="763"/>
      <c r="I61" s="763"/>
      <c r="J61" s="763"/>
      <c r="K61" s="763" t="s">
        <v>195</v>
      </c>
      <c r="L61" s="763"/>
      <c r="M61" s="763" t="s">
        <v>188</v>
      </c>
      <c r="N61" s="763"/>
      <c r="O61" s="763"/>
      <c r="P61" s="763" t="s">
        <v>69</v>
      </c>
      <c r="Q61" s="763"/>
      <c r="R61" s="763"/>
      <c r="S61" s="133"/>
      <c r="T61" s="133"/>
      <c r="U61" s="133"/>
      <c r="V61" s="134"/>
      <c r="Z61" s="1026"/>
      <c r="HE61" s="10"/>
      <c r="HF61" s="10"/>
      <c r="HL61" s="116"/>
      <c r="HM61" s="117"/>
      <c r="HN61" s="118"/>
      <c r="HO61" s="118"/>
      <c r="HR61" s="122">
        <f>'DADOS DOS EMPREENDIMENTOS'!A41</f>
        <v>0</v>
      </c>
      <c r="HS61" s="118">
        <f>'DADOS DOS EMPREENDIMENTOS'!B41</f>
        <v>0</v>
      </c>
      <c r="HT61" s="123">
        <f>'DADOS DOS EMPREENDIMENTOS'!C41</f>
        <v>0</v>
      </c>
      <c r="IC61" s="110"/>
      <c r="ID61" s="119"/>
      <c r="IE61" s="110"/>
    </row>
    <row r="62" spans="1:239" ht="25.5" customHeight="1" thickBot="1" x14ac:dyDescent="0.25">
      <c r="A62" s="150"/>
      <c r="B62" s="1000"/>
      <c r="C62" s="1001"/>
      <c r="D62" s="152"/>
      <c r="E62" s="764"/>
      <c r="F62" s="764"/>
      <c r="G62" s="764"/>
      <c r="H62" s="764"/>
      <c r="I62" s="764"/>
      <c r="J62" s="764"/>
      <c r="K62" s="764" t="s">
        <v>195</v>
      </c>
      <c r="L62" s="764"/>
      <c r="M62" s="764"/>
      <c r="N62" s="764"/>
      <c r="O62" s="764"/>
      <c r="P62" s="764"/>
      <c r="Q62" s="764"/>
      <c r="R62" s="764"/>
      <c r="V62" s="136"/>
      <c r="Z62" s="1027"/>
      <c r="AF62" s="879" t="s">
        <v>190</v>
      </c>
      <c r="AG62" s="847"/>
      <c r="AH62" s="880"/>
      <c r="HE62" s="10"/>
      <c r="HF62" s="10"/>
      <c r="HL62" s="116"/>
      <c r="HM62" s="117"/>
      <c r="HN62" s="118"/>
      <c r="HO62" s="118"/>
      <c r="HR62" s="122">
        <f>'DADOS DOS EMPREENDIMENTOS'!A42</f>
        <v>0</v>
      </c>
      <c r="HS62" s="118">
        <f>'DADOS DOS EMPREENDIMENTOS'!B42</f>
        <v>0</v>
      </c>
      <c r="HT62" s="123">
        <f>'DADOS DOS EMPREENDIMENTOS'!C42</f>
        <v>0</v>
      </c>
      <c r="IC62" s="110"/>
      <c r="ID62" s="119"/>
      <c r="IE62" s="110"/>
    </row>
    <row r="63" spans="1:239" ht="38.25" customHeight="1" thickBot="1" x14ac:dyDescent="0.25">
      <c r="A63" s="150" t="e">
        <f>VLOOKUP(D63,$GY$38:$GZ$47,2,FALSE)</f>
        <v>#N/A</v>
      </c>
      <c r="B63" s="1000"/>
      <c r="C63" s="1001"/>
      <c r="D63" s="153" t="s">
        <v>53</v>
      </c>
      <c r="E63" s="729">
        <v>1</v>
      </c>
      <c r="F63" s="730"/>
      <c r="G63" s="753">
        <v>51275.44</v>
      </c>
      <c r="H63" s="753"/>
      <c r="I63" s="753"/>
      <c r="J63" s="753"/>
      <c r="K63" s="765">
        <v>0</v>
      </c>
      <c r="L63" s="766"/>
      <c r="M63" s="731">
        <f ca="1">I12</f>
        <v>43809</v>
      </c>
      <c r="N63" s="732"/>
      <c r="O63" s="733"/>
      <c r="P63" s="735">
        <f>G63*E63</f>
        <v>51275.44</v>
      </c>
      <c r="Q63" s="736"/>
      <c r="R63" s="737"/>
      <c r="S63" s="995" t="str">
        <f>IF(E63&lt;&gt;0,IF(P63&lt;'Simulador CEF'!P41,CONCATENATE("1ª parcela do ato insuficiente, mínimo de R$ ",'Simulador CEF'!M41," 
nessa parcela."),IF(E63&gt;J41, CONCATENATE("Parcela no máximo em ",J41," vez"),"OK")),"Informar Entrada")</f>
        <v>OK</v>
      </c>
      <c r="T63" s="995"/>
      <c r="U63" s="995"/>
      <c r="V63" s="136"/>
      <c r="Z63" s="655">
        <f ca="1">IF('Proposta 1 Via'!P41&gt;0,'Proposta 1 Via'!P41,0)</f>
        <v>51275.439999999959</v>
      </c>
      <c r="AF63" s="877">
        <f ca="1">'Proposta 1 Via'!M41</f>
        <v>51275.44</v>
      </c>
      <c r="AG63" s="760"/>
      <c r="AH63" s="878"/>
      <c r="HE63" s="10"/>
      <c r="HF63" s="10"/>
      <c r="HL63" s="116"/>
      <c r="HM63" s="117"/>
      <c r="HN63" s="118"/>
      <c r="HO63" s="118"/>
      <c r="IC63" s="110"/>
      <c r="ID63" s="119"/>
      <c r="IE63" s="110"/>
    </row>
    <row r="64" spans="1:239" ht="15" customHeight="1" thickBot="1" x14ac:dyDescent="0.25">
      <c r="A64" s="150"/>
      <c r="B64" s="1000"/>
      <c r="C64" s="1001"/>
      <c r="D64" s="154"/>
      <c r="E64" s="139"/>
      <c r="F64" s="139"/>
      <c r="G64" s="139"/>
      <c r="H64" s="140"/>
      <c r="I64" s="140"/>
      <c r="J64" s="140"/>
      <c r="K64" s="155"/>
      <c r="L64" s="155"/>
      <c r="M64" s="650"/>
      <c r="N64" s="138"/>
      <c r="O64" s="110"/>
      <c r="P64" s="140"/>
      <c r="Q64" s="140"/>
      <c r="R64" s="110"/>
      <c r="T64" s="156"/>
      <c r="U64" s="145"/>
      <c r="V64" s="136"/>
      <c r="Z64" s="157"/>
      <c r="AF64" s="141"/>
      <c r="AG64" s="140"/>
      <c r="AH64" s="142"/>
      <c r="HE64" s="10">
        <v>24</v>
      </c>
      <c r="HF64" s="10"/>
      <c r="HL64" s="116"/>
      <c r="HM64" s="117"/>
      <c r="HN64" s="118"/>
      <c r="HO64" s="118"/>
      <c r="IC64" s="110"/>
      <c r="ID64" s="119"/>
      <c r="IE64" s="110"/>
    </row>
    <row r="65" spans="1:252" ht="38.25" customHeight="1" thickBot="1" x14ac:dyDescent="0.25">
      <c r="A65" s="150">
        <f>VLOOKUP(D69,$GY$38:$GZ$47,2,FALSE)</f>
        <v>1</v>
      </c>
      <c r="B65" s="1000"/>
      <c r="C65" s="1001"/>
      <c r="D65" s="153" t="s">
        <v>577</v>
      </c>
      <c r="E65" s="729">
        <v>1</v>
      </c>
      <c r="F65" s="730"/>
      <c r="G65" s="753">
        <v>2500</v>
      </c>
      <c r="H65" s="753"/>
      <c r="I65" s="753"/>
      <c r="J65" s="753"/>
      <c r="K65" s="765">
        <v>1</v>
      </c>
      <c r="L65" s="766"/>
      <c r="M65" s="731">
        <f ca="1">DATE(YEAR(M63),MONTH(M63)+(K65-K63),1)</f>
        <v>43831</v>
      </c>
      <c r="N65" s="732"/>
      <c r="O65" s="733"/>
      <c r="P65" s="735">
        <f>G65*E65</f>
        <v>2500</v>
      </c>
      <c r="Q65" s="736"/>
      <c r="R65" s="737"/>
      <c r="S65" s="995" t="str">
        <f>IF(E65&lt;&gt;0,IF(P65&lt;'Simulador CEF'!T43,CONCATENATE("parcela de entrada insuficiente, mínimo de R$ ",'Simulador CEF'!T43," 
nessa parcela."),IF(E65&gt;J43, CONCATENATE("Parcela no máximo em ",J43," vez"),"OK")),"Informar Entrada")</f>
        <v>OK</v>
      </c>
      <c r="T65" s="995"/>
      <c r="U65" s="995"/>
      <c r="V65" s="136"/>
      <c r="Z65" s="655">
        <f ca="1">IF('Proposta 1 Via'!P42&gt;0,'Proposta 1 Via'!P42,0)</f>
        <v>2499.9999999999422</v>
      </c>
      <c r="AF65" s="877">
        <f ca="1">'Proposta 1 Via'!M42</f>
        <v>2482.1106262104827</v>
      </c>
      <c r="AG65" s="760"/>
      <c r="AH65" s="878"/>
      <c r="HE65" s="10"/>
      <c r="HF65" s="10"/>
      <c r="HL65" s="116"/>
      <c r="HM65" s="117"/>
      <c r="HN65" s="118"/>
      <c r="HO65" s="118"/>
      <c r="IC65" s="110"/>
      <c r="ID65" s="119"/>
      <c r="IE65" s="110"/>
    </row>
    <row r="66" spans="1:252" ht="15" customHeight="1" thickBot="1" x14ac:dyDescent="0.25">
      <c r="A66" s="150"/>
      <c r="B66" s="1000"/>
      <c r="C66" s="1001"/>
      <c r="D66" s="154"/>
      <c r="E66" s="139"/>
      <c r="F66" s="139"/>
      <c r="G66" s="139"/>
      <c r="H66" s="140"/>
      <c r="I66" s="140"/>
      <c r="J66" s="140"/>
      <c r="K66" s="155"/>
      <c r="L66" s="155"/>
      <c r="M66" s="138"/>
      <c r="N66" s="138"/>
      <c r="O66" s="110"/>
      <c r="P66" s="140"/>
      <c r="Q66" s="140"/>
      <c r="R66" s="110"/>
      <c r="T66" s="156"/>
      <c r="U66" s="145"/>
      <c r="V66" s="136"/>
      <c r="Z66" s="157"/>
      <c r="AF66" s="141"/>
      <c r="AG66" s="140"/>
      <c r="AH66" s="142"/>
      <c r="HE66" s="10"/>
      <c r="HF66" s="10"/>
      <c r="HL66" s="116"/>
      <c r="HM66" s="117"/>
      <c r="HN66" s="118"/>
      <c r="HO66" s="118"/>
      <c r="IC66" s="110"/>
      <c r="ID66" s="119"/>
      <c r="IE66" s="110"/>
    </row>
    <row r="67" spans="1:252" ht="26.25" hidden="1" customHeight="1" thickBot="1" x14ac:dyDescent="0.25">
      <c r="A67" s="150">
        <f>VLOOKUP(D71,$GY$38:$GZ$47,2,FALSE)</f>
        <v>1</v>
      </c>
      <c r="B67" s="1000"/>
      <c r="C67" s="1001"/>
      <c r="D67" s="153" t="s">
        <v>185</v>
      </c>
      <c r="E67" s="729">
        <v>1</v>
      </c>
      <c r="F67" s="730"/>
      <c r="G67" s="753">
        <v>0</v>
      </c>
      <c r="H67" s="753"/>
      <c r="I67" s="753"/>
      <c r="J67" s="753"/>
      <c r="K67" s="765">
        <v>2</v>
      </c>
      <c r="L67" s="766"/>
      <c r="M67" s="731">
        <f ca="1">DATE(YEAR(M63),MONTH(M63)+(K67-K63),1)</f>
        <v>43862</v>
      </c>
      <c r="N67" s="732"/>
      <c r="O67" s="733"/>
      <c r="P67" s="735">
        <f>G67*E67</f>
        <v>0</v>
      </c>
      <c r="Q67" s="736"/>
      <c r="R67" s="737"/>
      <c r="S67" s="995" t="str">
        <f>IF(E67&lt;&gt;0,IF(P67&lt;'Simulador CEF'!U46,CONCATENATE("parcela de entrada insuficiente, mínimo de R$ ",'Simulador CEF'!U46," 
nessa parcela."),IF(E67&gt;J45, CONCATENATE("Parcela no máximo em ",J45," vez"),"OK")),"Informar Entrada")</f>
        <v>OK</v>
      </c>
      <c r="T67" s="995"/>
      <c r="U67" s="995"/>
      <c r="V67" s="136"/>
      <c r="Z67" s="655">
        <f ca="1">IF('Proposta 1 Via'!P43&gt;0,'Proposta 1 Via'!P43,0)</f>
        <v>0</v>
      </c>
      <c r="AF67" s="877">
        <f ca="1">'Proposta 1 Via'!M43</f>
        <v>0</v>
      </c>
      <c r="AG67" s="760"/>
      <c r="AH67" s="878"/>
      <c r="HE67" s="10"/>
      <c r="HF67" s="10"/>
      <c r="HL67" s="116"/>
      <c r="HM67" s="117"/>
      <c r="HN67" s="118"/>
      <c r="HO67" s="118"/>
      <c r="IC67" s="110"/>
      <c r="ID67" s="119"/>
      <c r="IE67" s="110"/>
    </row>
    <row r="68" spans="1:252" ht="21" hidden="1" customHeight="1" thickBot="1" x14ac:dyDescent="0.25">
      <c r="A68" s="150"/>
      <c r="B68" s="1000"/>
      <c r="C68" s="1001"/>
      <c r="D68" s="154"/>
      <c r="E68" s="139"/>
      <c r="F68" s="139"/>
      <c r="G68" s="139"/>
      <c r="H68" s="140"/>
      <c r="I68" s="140"/>
      <c r="J68" s="140"/>
      <c r="K68" s="155"/>
      <c r="L68" s="155"/>
      <c r="M68" s="138"/>
      <c r="N68" s="138"/>
      <c r="O68" s="110"/>
      <c r="P68" s="140"/>
      <c r="Q68" s="140"/>
      <c r="R68" s="110"/>
      <c r="T68" s="156"/>
      <c r="U68" s="145"/>
      <c r="V68" s="136"/>
      <c r="Z68" s="157"/>
      <c r="AF68" s="141"/>
      <c r="AG68" s="140"/>
      <c r="AH68" s="142"/>
      <c r="HE68" s="10"/>
      <c r="HF68" s="10"/>
      <c r="HL68" s="116"/>
      <c r="HM68" s="117"/>
      <c r="HN68" s="118"/>
      <c r="HO68" s="118"/>
      <c r="IC68" s="110"/>
      <c r="ID68" s="119"/>
      <c r="IE68" s="110"/>
    </row>
    <row r="69" spans="1:252" s="412" customFormat="1" ht="38.25" customHeight="1" thickBot="1" x14ac:dyDescent="0.25">
      <c r="A69" s="412">
        <f>VLOOKUP(D73,$GY$38:$GZ$47,2,FALSE)</f>
        <v>0</v>
      </c>
      <c r="B69" s="1000"/>
      <c r="C69" s="1001"/>
      <c r="D69" s="590" t="s">
        <v>185</v>
      </c>
      <c r="E69" s="1005">
        <v>3</v>
      </c>
      <c r="F69" s="751"/>
      <c r="G69" s="753">
        <v>1000</v>
      </c>
      <c r="H69" s="753"/>
      <c r="I69" s="753"/>
      <c r="J69" s="753"/>
      <c r="K69" s="765">
        <v>2</v>
      </c>
      <c r="L69" s="766"/>
      <c r="M69" s="731">
        <f ca="1">DATE(YEAR(M63),MONTH(M63)+(K69-K63),1)</f>
        <v>43862</v>
      </c>
      <c r="N69" s="732"/>
      <c r="O69" s="733"/>
      <c r="P69" s="735">
        <f>G69*E69</f>
        <v>3000</v>
      </c>
      <c r="Q69" s="736"/>
      <c r="R69" s="737"/>
      <c r="S69" s="995" t="str">
        <f>IF(E69&lt;&gt;0,IF(P69&lt;'Simulador CEF'!U46,CONCATENATE("parcela de entrada insuficiente, mínimo de R$ ",'Simulador CEF'!U46," 
nessa parcela."),IF(E69&gt;G57, CONCATENATE("Parcela no máximo em ",G57," vezes"),"OK")),"Informar Entrada")</f>
        <v>OK</v>
      </c>
      <c r="T69" s="995"/>
      <c r="U69" s="995"/>
      <c r="V69" s="609"/>
      <c r="Z69" s="656">
        <f ca="1">IF('Proposta 1 Via'!P44&gt;0,'Proposta 1 Via'!P44,0)</f>
        <v>999.99999999997226</v>
      </c>
      <c r="AF69" s="877">
        <f ca="1">'Proposta 1 Via'!M44</f>
        <v>2936.1084724491038</v>
      </c>
      <c r="AG69" s="760"/>
      <c r="AH69" s="878"/>
      <c r="HE69" s="401"/>
      <c r="HF69" s="401"/>
      <c r="HL69" s="610"/>
      <c r="HM69" s="611"/>
      <c r="HN69" s="612"/>
      <c r="HO69" s="612"/>
      <c r="IC69" s="613"/>
      <c r="ID69" s="614"/>
      <c r="IE69" s="613"/>
      <c r="IO69" s="615"/>
      <c r="IR69" s="701"/>
    </row>
    <row r="70" spans="1:252" ht="14.25" customHeight="1" thickBot="1" x14ac:dyDescent="0.25">
      <c r="A70" s="150"/>
      <c r="B70" s="1000"/>
      <c r="C70" s="1001"/>
      <c r="D70" s="154"/>
      <c r="E70" s="139"/>
      <c r="F70" s="139"/>
      <c r="G70" s="139"/>
      <c r="H70" s="140"/>
      <c r="I70" s="140"/>
      <c r="J70" s="140"/>
      <c r="K70" s="155"/>
      <c r="L70" s="155"/>
      <c r="M70" s="138"/>
      <c r="N70" s="138"/>
      <c r="O70" s="110"/>
      <c r="P70" s="140"/>
      <c r="Q70" s="140"/>
      <c r="R70" s="110"/>
      <c r="T70" s="156"/>
      <c r="U70" s="145"/>
      <c r="V70" s="136"/>
      <c r="Z70" s="157"/>
      <c r="AC70" s="414" t="s">
        <v>282</v>
      </c>
      <c r="AD70" s="415"/>
      <c r="AF70" s="141"/>
      <c r="AG70" s="140"/>
      <c r="AH70" s="142"/>
      <c r="HE70" s="10"/>
      <c r="HF70" s="10"/>
      <c r="HL70" s="116"/>
      <c r="HM70" s="117"/>
      <c r="HN70" s="118"/>
      <c r="HO70" s="118"/>
      <c r="IC70" s="110"/>
      <c r="ID70" s="119"/>
      <c r="IE70" s="110"/>
    </row>
    <row r="71" spans="1:252" s="567" customFormat="1" ht="41.25" hidden="1" customHeight="1" thickBot="1" x14ac:dyDescent="0.25">
      <c r="A71" s="567" t="e">
        <f>VLOOKUP(D79,$GY$38:$GZ$47,2,FALSE)</f>
        <v>#N/A</v>
      </c>
      <c r="B71" s="1000"/>
      <c r="C71" s="1001"/>
      <c r="D71" s="544" t="s">
        <v>46</v>
      </c>
      <c r="E71" s="1004">
        <v>1</v>
      </c>
      <c r="F71" s="1004"/>
      <c r="G71" s="740">
        <v>0</v>
      </c>
      <c r="H71" s="741"/>
      <c r="I71" s="741"/>
      <c r="J71" s="742"/>
      <c r="K71" s="967">
        <f>+E49</f>
        <v>0</v>
      </c>
      <c r="L71" s="968"/>
      <c r="M71" s="767">
        <f ca="1">DATE(YEAR(M65),MONTH(M65)+(K71-K65),DAY(M65))</f>
        <v>43800</v>
      </c>
      <c r="N71" s="767"/>
      <c r="O71" s="767"/>
      <c r="P71" s="739">
        <f>G71*E71</f>
        <v>0</v>
      </c>
      <c r="Q71" s="739"/>
      <c r="R71" s="739"/>
      <c r="S71" s="885" t="str">
        <f>IF(E71&lt;&gt;0,IF(G71&gt;'Simulador CEF'!N36,CONCATENATE("valor excedente, máximo de R$ ",'Simulador CEF'!N36," 
por parcela."),IF(E71&gt;J49, CONCATENATE("Parcele no máximo em ",J49," vezes"),"OK")),"Informar Entrada")</f>
        <v>Parcele no máximo em 0 vezes</v>
      </c>
      <c r="T71" s="886"/>
      <c r="U71" s="886"/>
      <c r="V71" s="579"/>
      <c r="Z71" s="606">
        <f ca="1">IF('Proposta 1 Via'!P45&gt;0,'Proposta 1 Via'!P45,0)</f>
        <v>0</v>
      </c>
      <c r="AB71" s="567" t="s">
        <v>279</v>
      </c>
      <c r="AC71" s="624">
        <f>+P71/S6</f>
        <v>0</v>
      </c>
      <c r="AD71" s="625"/>
      <c r="AF71" s="881">
        <f ca="1">'Proposta 1 Via'!M45</f>
        <v>0</v>
      </c>
      <c r="AG71" s="882"/>
      <c r="AH71" s="883"/>
      <c r="HE71" s="580"/>
      <c r="HF71" s="580"/>
      <c r="HL71" s="581"/>
      <c r="HM71" s="582"/>
      <c r="HN71" s="583"/>
      <c r="HO71" s="583"/>
      <c r="IC71" s="549"/>
      <c r="ID71" s="584"/>
      <c r="IE71" s="549"/>
      <c r="IO71" s="585"/>
      <c r="IR71" s="698"/>
    </row>
    <row r="72" spans="1:252" ht="15" hidden="1" customHeight="1" thickBot="1" x14ac:dyDescent="0.25">
      <c r="A72" s="150"/>
      <c r="B72" s="1000"/>
      <c r="C72" s="1001"/>
      <c r="D72" s="153"/>
      <c r="E72" s="139"/>
      <c r="F72" s="139"/>
      <c r="G72" s="139"/>
      <c r="H72" s="140"/>
      <c r="I72" s="140"/>
      <c r="J72" s="140"/>
      <c r="K72" s="155"/>
      <c r="L72" s="155"/>
      <c r="M72" s="138"/>
      <c r="N72" s="138"/>
      <c r="O72" s="110"/>
      <c r="P72" s="140"/>
      <c r="Q72" s="140"/>
      <c r="R72" s="110"/>
      <c r="T72" s="156"/>
      <c r="U72" s="145"/>
      <c r="V72" s="136"/>
      <c r="Z72" s="157"/>
      <c r="AB72" s="89" t="s">
        <v>278</v>
      </c>
      <c r="AF72" s="141"/>
      <c r="AG72" s="140"/>
      <c r="AH72" s="142"/>
      <c r="HE72" s="10"/>
      <c r="HF72" s="10"/>
      <c r="HL72" s="116"/>
      <c r="HM72" s="117"/>
      <c r="HN72" s="118"/>
      <c r="HO72" s="118"/>
      <c r="IC72" s="110"/>
      <c r="ID72" s="119"/>
      <c r="IE72" s="110"/>
    </row>
    <row r="73" spans="1:252" ht="51.75" hidden="1" customHeight="1" thickBot="1" x14ac:dyDescent="0.25">
      <c r="A73" s="150" t="e">
        <f>VLOOKUP(#REF!,$GY$38:$GZ$47,2,FALSE)</f>
        <v>#REF!</v>
      </c>
      <c r="B73" s="1000"/>
      <c r="C73" s="1001"/>
      <c r="D73" s="590" t="s">
        <v>284</v>
      </c>
      <c r="E73" s="1005">
        <v>1</v>
      </c>
      <c r="F73" s="751"/>
      <c r="G73" s="996">
        <v>0</v>
      </c>
      <c r="H73" s="753"/>
      <c r="I73" s="753"/>
      <c r="J73" s="997"/>
      <c r="K73" s="1005">
        <v>5</v>
      </c>
      <c r="L73" s="750"/>
      <c r="M73" s="772">
        <f ca="1">DATE(YEAR(M71),MONTH(M71)+(K73-K71),1)</f>
        <v>43952</v>
      </c>
      <c r="N73" s="773"/>
      <c r="O73" s="774"/>
      <c r="P73" s="787">
        <f>G73*E73</f>
        <v>0</v>
      </c>
      <c r="Q73" s="788"/>
      <c r="R73" s="789"/>
      <c r="S73" s="884" t="str">
        <f>IF(K91&gt;39,"Verificar Qtd. de Parcelas - Última deve ser em Abril/20",IF(E73&lt;&gt;0,IF(G73&gt;'Simulador CEF'!N36,CONCATENATE("valor excedente, máximo de R$ ",'Simulador CEF'!N36," 
por parcela."),IF(E73&gt;J51,CONCATENATE("Parcele no máximo em ",J51," vezes"),"OK")),"Informar Entrada"))</f>
        <v>OK</v>
      </c>
      <c r="T73" s="884"/>
      <c r="U73" s="884"/>
      <c r="V73" s="136"/>
      <c r="Z73" s="655">
        <f ca="1">IF('Proposta 1 Via'!P46&gt;0,'Proposta 1 Via'!P46,0)</f>
        <v>0</v>
      </c>
      <c r="AF73" s="877">
        <f ca="1">'Proposta 1 Via'!M46</f>
        <v>0</v>
      </c>
      <c r="AG73" s="760"/>
      <c r="AH73" s="878"/>
      <c r="HE73" s="10">
        <v>25</v>
      </c>
      <c r="HF73" s="10"/>
      <c r="HL73" s="116"/>
      <c r="HM73" s="117"/>
      <c r="HN73" s="118"/>
      <c r="HO73" s="118"/>
      <c r="IC73" s="110"/>
      <c r="ID73" s="119"/>
      <c r="IE73" s="110"/>
      <c r="IP73" s="158" t="s">
        <v>126</v>
      </c>
      <c r="IQ73" s="158" t="s">
        <v>127</v>
      </c>
    </row>
    <row r="74" spans="1:252" s="567" customFormat="1" ht="15" hidden="1" customHeight="1" thickBot="1" x14ac:dyDescent="0.25">
      <c r="B74" s="1000"/>
      <c r="C74" s="1001"/>
      <c r="D74" s="604"/>
      <c r="E74" s="545"/>
      <c r="F74" s="545"/>
      <c r="G74" s="545"/>
      <c r="H74" s="546"/>
      <c r="I74" s="546"/>
      <c r="J74" s="546"/>
      <c r="K74" s="547"/>
      <c r="L74" s="547"/>
      <c r="M74" s="548"/>
      <c r="N74" s="548"/>
      <c r="O74" s="549"/>
      <c r="P74" s="546"/>
      <c r="Q74" s="546"/>
      <c r="R74" s="549"/>
      <c r="S74" s="685"/>
      <c r="T74" s="586"/>
      <c r="U74" s="587"/>
      <c r="V74" s="579"/>
      <c r="Z74" s="605"/>
      <c r="AB74" s="567" t="s">
        <v>278</v>
      </c>
      <c r="AF74" s="588"/>
      <c r="AG74" s="546"/>
      <c r="AH74" s="589"/>
      <c r="HE74" s="580"/>
      <c r="HF74" s="580"/>
      <c r="HL74" s="581"/>
      <c r="HM74" s="582"/>
      <c r="HN74" s="583"/>
      <c r="HO74" s="583"/>
      <c r="IC74" s="549"/>
      <c r="ID74" s="584"/>
      <c r="IE74" s="549"/>
      <c r="IO74" s="585"/>
      <c r="IR74" s="698"/>
    </row>
    <row r="75" spans="1:252" s="412" customFormat="1" ht="33.75" hidden="1" customHeight="1" thickBot="1" x14ac:dyDescent="0.25">
      <c r="A75" s="616" t="e">
        <f>VLOOKUP(#REF!,$GY$38:$GZ$47,2,FALSE)</f>
        <v>#REF!</v>
      </c>
      <c r="B75" s="1000"/>
      <c r="C75" s="1001"/>
      <c r="D75" s="590" t="s">
        <v>36</v>
      </c>
      <c r="E75" s="1005">
        <v>1</v>
      </c>
      <c r="F75" s="751"/>
      <c r="G75" s="753">
        <v>0</v>
      </c>
      <c r="H75" s="753"/>
      <c r="I75" s="753"/>
      <c r="J75" s="753"/>
      <c r="K75" s="765">
        <f ca="1">(YEAR(M75)-YEAR(M63))*12+MONTH(M75)-MONTH(M63)</f>
        <v>6</v>
      </c>
      <c r="L75" s="766"/>
      <c r="M75" s="749">
        <f ca="1">DATE(YEAR(M83),MONTH(M83)+(1),1)</f>
        <v>43983</v>
      </c>
      <c r="N75" s="750"/>
      <c r="O75" s="751"/>
      <c r="P75" s="735">
        <f>G75*E75</f>
        <v>0</v>
      </c>
      <c r="Q75" s="736"/>
      <c r="R75" s="737"/>
      <c r="S75" s="790" t="str">
        <f>IF(E75&lt;&gt;0,IF(G75&gt;'Simulador CEF'!F22,CONCATENATE("valor excedente, máximo de R$ ",'Simulador CEF'!F22," 
por parcela."),IF(E75&gt;J47,CONCATENATE("Parcele no máximo em ",J47," vezes"),"OK")),"Informar Entrada")</f>
        <v>OK</v>
      </c>
      <c r="T75" s="790"/>
      <c r="U75" s="790"/>
      <c r="V75" s="609"/>
      <c r="Z75" s="656">
        <f ca="1">IF('Proposta 1 Via'!P48&gt;0,'Proposta 1 Via'!P48,0)</f>
        <v>0</v>
      </c>
      <c r="AF75" s="877">
        <f ca="1">'Proposta 1 Via'!M48</f>
        <v>0</v>
      </c>
      <c r="AG75" s="760"/>
      <c r="AH75" s="878"/>
      <c r="HE75" s="401">
        <v>25</v>
      </c>
      <c r="HF75" s="401"/>
      <c r="HL75" s="610"/>
      <c r="HM75" s="611"/>
      <c r="HN75" s="612"/>
      <c r="HO75" s="612"/>
      <c r="IC75" s="613"/>
      <c r="ID75" s="614"/>
      <c r="IE75" s="613"/>
      <c r="IO75" s="615"/>
      <c r="IP75" s="412" t="s">
        <v>126</v>
      </c>
      <c r="IQ75" s="412" t="s">
        <v>127</v>
      </c>
      <c r="IR75" s="701"/>
    </row>
    <row r="76" spans="1:252" s="567" customFormat="1" ht="15" hidden="1" customHeight="1" thickBot="1" x14ac:dyDescent="0.25">
      <c r="B76" s="1000"/>
      <c r="C76" s="1001"/>
      <c r="D76" s="604"/>
      <c r="E76" s="545"/>
      <c r="F76" s="545"/>
      <c r="G76" s="545"/>
      <c r="H76" s="546"/>
      <c r="I76" s="546"/>
      <c r="J76" s="546"/>
      <c r="K76" s="547"/>
      <c r="L76" s="547"/>
      <c r="M76" s="548"/>
      <c r="N76" s="548"/>
      <c r="O76" s="549"/>
      <c r="P76" s="546"/>
      <c r="Q76" s="546"/>
      <c r="R76" s="549"/>
      <c r="T76" s="586"/>
      <c r="U76" s="587"/>
      <c r="V76" s="579"/>
      <c r="Z76" s="605"/>
      <c r="AB76" s="567" t="s">
        <v>278</v>
      </c>
      <c r="AF76" s="588"/>
      <c r="AG76" s="546"/>
      <c r="AH76" s="589"/>
      <c r="HE76" s="580"/>
      <c r="HF76" s="580"/>
      <c r="HL76" s="581"/>
      <c r="HM76" s="582"/>
      <c r="HN76" s="583"/>
      <c r="HO76" s="583"/>
      <c r="IC76" s="549"/>
      <c r="ID76" s="584"/>
      <c r="IE76" s="549"/>
      <c r="IO76" s="585"/>
      <c r="IR76" s="698"/>
    </row>
    <row r="77" spans="1:252" s="567" customFormat="1" ht="33.75" hidden="1" customHeight="1" thickBot="1" x14ac:dyDescent="0.25">
      <c r="A77" s="567" t="e">
        <f>VLOOKUP(#REF!,$GY$38:$GZ$47,2,FALSE)</f>
        <v>#REF!</v>
      </c>
      <c r="B77" s="1000"/>
      <c r="C77" s="1001"/>
      <c r="D77" s="544"/>
      <c r="E77" s="756">
        <v>0</v>
      </c>
      <c r="F77" s="757"/>
      <c r="G77" s="740"/>
      <c r="H77" s="741"/>
      <c r="I77" s="741"/>
      <c r="J77" s="742"/>
      <c r="K77" s="1011"/>
      <c r="L77" s="1012"/>
      <c r="M77" s="767">
        <f ca="1">DATE(YEAR(M75),MONTH(M75)+(K77-K75),DAY(M75))</f>
        <v>43800</v>
      </c>
      <c r="N77" s="767"/>
      <c r="O77" s="767"/>
      <c r="P77" s="739">
        <f>G77*E77</f>
        <v>0</v>
      </c>
      <c r="Q77" s="739"/>
      <c r="R77" s="739"/>
      <c r="S77" s="885" t="str">
        <f ca="1">IF(M77&gt;K90,"Semestral Fora do Prazo",IF(E77&lt;&gt;0,IF(G77&gt;'Simulador CEF'!F20,CONCATENATE("valor excedente, máximo de R$ ",'Simulador CEF'!F20," 
por parcela."),IF(E77&gt;J55,CONCATENATE("Parcele no máximo em ",J55," vezes"),"OK")),"Informar Entrada"))</f>
        <v>Semestral Fora do Prazo</v>
      </c>
      <c r="T77" s="886"/>
      <c r="U77" s="886"/>
      <c r="V77" s="579"/>
      <c r="Z77" s="606">
        <f ca="1">IF('Proposta 1 Via'!P49&gt;0,'Proposta 1 Via'!P49,0)</f>
        <v>0</v>
      </c>
      <c r="AF77" s="881">
        <f ca="1">'Proposta 1 Via'!M50</f>
        <v>97.168276743200408</v>
      </c>
      <c r="AG77" s="882"/>
      <c r="AH77" s="883"/>
      <c r="HE77" s="580">
        <v>25</v>
      </c>
      <c r="HF77" s="580"/>
      <c r="HL77" s="581"/>
      <c r="HM77" s="582"/>
      <c r="HN77" s="583"/>
      <c r="HO77" s="583"/>
      <c r="IC77" s="549"/>
      <c r="ID77" s="584"/>
      <c r="IE77" s="549"/>
      <c r="IO77" s="585"/>
      <c r="IP77" s="567" t="s">
        <v>126</v>
      </c>
      <c r="IQ77" s="567" t="s">
        <v>127</v>
      </c>
      <c r="IR77" s="698"/>
    </row>
    <row r="78" spans="1:252" ht="21" hidden="1" customHeight="1" thickBot="1" x14ac:dyDescent="0.25">
      <c r="A78" s="150"/>
      <c r="B78" s="1000"/>
      <c r="C78" s="1001"/>
      <c r="D78" s="153"/>
      <c r="E78" s="539"/>
      <c r="F78" s="539"/>
      <c r="G78" s="539"/>
      <c r="H78" s="540"/>
      <c r="I78" s="540"/>
      <c r="J78" s="540"/>
      <c r="K78" s="541"/>
      <c r="L78" s="541"/>
      <c r="M78" s="542"/>
      <c r="N78" s="542"/>
      <c r="O78" s="543"/>
      <c r="P78" s="540"/>
      <c r="Q78" s="540"/>
      <c r="R78" s="543"/>
      <c r="T78" s="156"/>
      <c r="U78" s="145"/>
      <c r="V78" s="136"/>
      <c r="Z78" s="157"/>
      <c r="AF78" s="141"/>
      <c r="AG78" s="140"/>
      <c r="AH78" s="142"/>
      <c r="HE78" s="10">
        <v>26</v>
      </c>
      <c r="HF78" s="10"/>
      <c r="HL78" s="116"/>
      <c r="HM78" s="117"/>
      <c r="HN78" s="118"/>
      <c r="HO78" s="118"/>
      <c r="IC78" s="110"/>
      <c r="ID78" s="119"/>
      <c r="IE78" s="110"/>
      <c r="IP78" s="90">
        <v>2790</v>
      </c>
      <c r="IQ78" s="90">
        <v>300</v>
      </c>
    </row>
    <row r="79" spans="1:252" ht="33.75" hidden="1" customHeight="1" thickBot="1" x14ac:dyDescent="0.25">
      <c r="A79" s="150" t="e">
        <f>VLOOKUP(#REF!,$GY$38:$GZ$47,2,FALSE)</f>
        <v>#REF!</v>
      </c>
      <c r="B79" s="1000"/>
      <c r="C79" s="1001"/>
      <c r="D79" s="153" t="s">
        <v>276</v>
      </c>
      <c r="E79" s="1009">
        <v>1</v>
      </c>
      <c r="F79" s="1010"/>
      <c r="G79" s="753">
        <v>0</v>
      </c>
      <c r="H79" s="753"/>
      <c r="I79" s="753"/>
      <c r="J79" s="753"/>
      <c r="K79" s="1013">
        <f>fluxos!B10</f>
        <v>36</v>
      </c>
      <c r="L79" s="1014"/>
      <c r="M79" s="772">
        <f ca="1">DATE(YEAR(M73),MONTH(M73)+(K79-K73),DAY(M73))</f>
        <v>44896</v>
      </c>
      <c r="N79" s="773"/>
      <c r="O79" s="774"/>
      <c r="P79" s="787">
        <f>G79*E79</f>
        <v>0</v>
      </c>
      <c r="Q79" s="788"/>
      <c r="R79" s="789"/>
      <c r="S79" s="786" t="str">
        <f>IF(E79&lt;&gt;0,IF(G79&gt;'Simulador CEF'!F20,CONCATENATE("valor excedente, máximo de R$ ",'Simulador CEF'!F20," 
por parcela."),IF(E79&gt;J53, CONCATENATE("Parcele no máximo em ",J53," vezes"),"OK")),"Informar Entrada")</f>
        <v>OK</v>
      </c>
      <c r="T79" s="786"/>
      <c r="U79" s="786"/>
      <c r="V79" s="136"/>
      <c r="Z79" s="655">
        <f ca="1">IF('Proposta 1 Via'!P47&gt;0,'Proposta 1 Via'!P47,0)</f>
        <v>0</v>
      </c>
      <c r="AF79" s="877">
        <f ca="1">'Proposta 1 Via'!M47</f>
        <v>0</v>
      </c>
      <c r="AG79" s="760"/>
      <c r="AH79" s="878"/>
      <c r="HE79" s="10">
        <v>27</v>
      </c>
      <c r="HF79" s="10"/>
      <c r="HL79" s="116"/>
      <c r="HM79" s="117"/>
      <c r="HN79" s="118"/>
      <c r="HO79" s="118"/>
      <c r="IC79" s="110"/>
      <c r="ID79" s="119"/>
      <c r="IE79" s="110"/>
      <c r="IP79" s="90">
        <v>4900</v>
      </c>
      <c r="IQ79" s="90">
        <v>360</v>
      </c>
    </row>
    <row r="80" spans="1:252" ht="15" hidden="1" customHeight="1" thickBot="1" x14ac:dyDescent="0.25">
      <c r="A80" s="150"/>
      <c r="B80" s="1000"/>
      <c r="C80" s="1001"/>
      <c r="D80" s="153"/>
      <c r="E80" s="539"/>
      <c r="F80" s="539"/>
      <c r="G80" s="539"/>
      <c r="H80" s="540"/>
      <c r="I80" s="540"/>
      <c r="J80" s="540"/>
      <c r="K80" s="541"/>
      <c r="L80" s="541"/>
      <c r="M80" s="542"/>
      <c r="N80" s="542"/>
      <c r="O80" s="543"/>
      <c r="P80" s="540"/>
      <c r="Q80" s="540"/>
      <c r="R80" s="543"/>
      <c r="T80" s="156"/>
      <c r="U80" s="145"/>
      <c r="V80" s="136"/>
      <c r="Z80" s="157"/>
      <c r="AF80" s="141"/>
      <c r="AG80" s="140"/>
      <c r="AH80" s="142"/>
      <c r="HE80" s="10">
        <v>28</v>
      </c>
      <c r="HF80" s="10"/>
      <c r="HL80" s="116"/>
      <c r="HM80" s="117"/>
      <c r="HN80" s="118"/>
      <c r="HO80" s="118"/>
      <c r="IC80" s="110"/>
      <c r="ID80" s="119"/>
      <c r="IE80" s="110"/>
      <c r="IP80" s="111"/>
    </row>
    <row r="81" spans="1:256" ht="33.75" hidden="1" customHeight="1" thickBot="1" x14ac:dyDescent="0.25">
      <c r="A81" s="150">
        <f>VLOOKUP(D81,$GY$38:$GZ$47,2,FALSE)</f>
        <v>12</v>
      </c>
      <c r="B81" s="1000"/>
      <c r="C81" s="1001"/>
      <c r="D81" s="590" t="s">
        <v>36</v>
      </c>
      <c r="E81" s="756">
        <v>0</v>
      </c>
      <c r="F81" s="757"/>
      <c r="G81" s="740"/>
      <c r="H81" s="741"/>
      <c r="I81" s="741"/>
      <c r="J81" s="742"/>
      <c r="K81" s="967">
        <v>9</v>
      </c>
      <c r="L81" s="968"/>
      <c r="M81" s="767">
        <f ca="1">DATE(YEAR(M79),MONTH(M79)+(K81-K79),DAY(M79))</f>
        <v>44075</v>
      </c>
      <c r="N81" s="767"/>
      <c r="O81" s="767"/>
      <c r="P81" s="739">
        <f>G81*E81</f>
        <v>0</v>
      </c>
      <c r="Q81" s="739"/>
      <c r="R81" s="739"/>
      <c r="S81" s="965" t="str">
        <f>IF(G81&gt;0,IF($AN$112&gt;K81,IF(K81+(E81-1)*A81&lt;=$AN$112,"Ok",CONCATENATE("Prazo excedido, parcela máxima: ",(ROUNDDOWN(($AN$112-K81)/A81,0))+1)),"Mês de início inválido."),"")</f>
        <v/>
      </c>
      <c r="T81" s="966"/>
      <c r="U81" s="200"/>
      <c r="V81" s="136"/>
      <c r="Z81" s="296">
        <f ca="1">IF('Proposta 1 Via'!P48&gt;0,'Proposta 1 Via'!P48,0)</f>
        <v>0</v>
      </c>
      <c r="AF81" s="877">
        <f ca="1">'Proposta 1 Via'!M48</f>
        <v>0</v>
      </c>
      <c r="AG81" s="760"/>
      <c r="AH81" s="878"/>
      <c r="HE81" s="10">
        <v>29</v>
      </c>
      <c r="HF81" s="10"/>
      <c r="HL81" s="116"/>
      <c r="HM81" s="117"/>
      <c r="HN81" s="118"/>
      <c r="HO81" s="118"/>
      <c r="IC81" s="110"/>
      <c r="ID81" s="119"/>
      <c r="IE81" s="110"/>
      <c r="IP81" s="111"/>
    </row>
    <row r="82" spans="1:256" ht="15" hidden="1" customHeight="1" thickBot="1" x14ac:dyDescent="0.25">
      <c r="A82" s="150"/>
      <c r="B82" s="1000"/>
      <c r="C82" s="1001"/>
      <c r="D82" s="153"/>
      <c r="E82" s="545"/>
      <c r="F82" s="545"/>
      <c r="G82" s="545"/>
      <c r="H82" s="546"/>
      <c r="I82" s="546"/>
      <c r="J82" s="546"/>
      <c r="K82" s="547"/>
      <c r="L82" s="547"/>
      <c r="M82" s="548"/>
      <c r="N82" s="548"/>
      <c r="O82" s="549"/>
      <c r="P82" s="546"/>
      <c r="Q82" s="546"/>
      <c r="R82" s="549"/>
      <c r="T82" s="156"/>
      <c r="U82" s="145"/>
      <c r="V82" s="136"/>
      <c r="Z82" s="157"/>
      <c r="AF82" s="141"/>
      <c r="AG82" s="140"/>
      <c r="AH82" s="142"/>
      <c r="HE82" s="10">
        <v>30</v>
      </c>
      <c r="HF82" s="10"/>
      <c r="HL82" s="116"/>
      <c r="HM82" s="117"/>
      <c r="HN82" s="118"/>
      <c r="HO82" s="118"/>
      <c r="IC82" s="110"/>
      <c r="ID82" s="119"/>
      <c r="IE82" s="110"/>
      <c r="IP82" s="111"/>
    </row>
    <row r="83" spans="1:256" ht="33.75" hidden="1" customHeight="1" thickBot="1" x14ac:dyDescent="0.25">
      <c r="A83" s="150">
        <f>VLOOKUP(D83,$GY$38:$GZ$47,2,FALSE)</f>
        <v>0</v>
      </c>
      <c r="B83" s="1000"/>
      <c r="C83" s="1001"/>
      <c r="D83" s="590" t="s">
        <v>283</v>
      </c>
      <c r="E83" s="756">
        <v>1</v>
      </c>
      <c r="F83" s="757"/>
      <c r="G83" s="740">
        <v>0</v>
      </c>
      <c r="H83" s="741"/>
      <c r="I83" s="741"/>
      <c r="J83" s="742"/>
      <c r="K83" s="969">
        <v>5</v>
      </c>
      <c r="L83" s="969"/>
      <c r="M83" s="767">
        <f ca="1">DATE(YEAR(M81),MONTH(M81)+(K83-K81),DAY(M81))</f>
        <v>43952</v>
      </c>
      <c r="N83" s="767"/>
      <c r="O83" s="767"/>
      <c r="P83" s="738">
        <f>G83*E83</f>
        <v>0</v>
      </c>
      <c r="Q83" s="739"/>
      <c r="R83" s="739"/>
      <c r="S83" s="963" t="s">
        <v>285</v>
      </c>
      <c r="T83" s="786"/>
      <c r="U83" s="786"/>
      <c r="V83" s="136"/>
      <c r="Z83" s="296">
        <f ca="1">IF('Proposta 1 Via'!P49&gt;0,'Proposta 1 Via'!P49,0)</f>
        <v>0</v>
      </c>
      <c r="AF83" s="877">
        <f ca="1">'Proposta 1 Via'!M49</f>
        <v>0</v>
      </c>
      <c r="AG83" s="760"/>
      <c r="AH83" s="878"/>
      <c r="AK83" s="107" t="s">
        <v>241</v>
      </c>
      <c r="HL83" s="116"/>
      <c r="HM83" s="117"/>
      <c r="HN83" s="118"/>
      <c r="HO83" s="118"/>
      <c r="IC83" s="110"/>
      <c r="ID83" s="119"/>
      <c r="IE83" s="110"/>
      <c r="IP83" s="111"/>
    </row>
    <row r="84" spans="1:256" ht="15" hidden="1" customHeight="1" thickBot="1" x14ac:dyDescent="0.25">
      <c r="A84" s="150"/>
      <c r="B84" s="1000"/>
      <c r="C84" s="1001"/>
      <c r="D84" s="153"/>
      <c r="E84" s="139"/>
      <c r="F84" s="139"/>
      <c r="G84" s="139"/>
      <c r="H84" s="140"/>
      <c r="I84" s="140"/>
      <c r="J84" s="140"/>
      <c r="K84" s="155"/>
      <c r="L84" s="155"/>
      <c r="M84" s="138"/>
      <c r="N84" s="138"/>
      <c r="O84" s="110"/>
      <c r="P84" s="140"/>
      <c r="Q84" s="140"/>
      <c r="R84" s="110"/>
      <c r="S84" s="110"/>
      <c r="T84" s="110"/>
      <c r="U84" s="144"/>
      <c r="V84" s="136"/>
      <c r="Z84" s="157"/>
      <c r="AF84" s="141"/>
      <c r="AG84" s="140"/>
      <c r="AH84" s="142"/>
      <c r="AK84" s="107"/>
      <c r="HL84" s="116"/>
      <c r="HM84" s="117"/>
      <c r="HN84" s="118"/>
      <c r="HO84" s="118"/>
      <c r="IC84" s="110"/>
      <c r="ID84" s="119"/>
      <c r="IE84" s="110"/>
      <c r="IO84" s="159" t="s">
        <v>122</v>
      </c>
      <c r="IP84" s="104" t="s">
        <v>130</v>
      </c>
      <c r="IQ84" s="104" t="s">
        <v>131</v>
      </c>
      <c r="IR84" s="698" t="s">
        <v>132</v>
      </c>
      <c r="IT84" s="939" t="s">
        <v>133</v>
      </c>
      <c r="IU84" s="939"/>
      <c r="IV84" s="939"/>
    </row>
    <row r="85" spans="1:256" ht="33.75" customHeight="1" thickBot="1" x14ac:dyDescent="0.25">
      <c r="A85" s="150">
        <v>1</v>
      </c>
      <c r="B85" s="1000"/>
      <c r="C85" s="1001"/>
      <c r="D85" s="153" t="s">
        <v>276</v>
      </c>
      <c r="E85" s="729">
        <v>1</v>
      </c>
      <c r="F85" s="730"/>
      <c r="G85" s="874">
        <v>100</v>
      </c>
      <c r="H85" s="875"/>
      <c r="I85" s="875"/>
      <c r="J85" s="876"/>
      <c r="K85" s="765">
        <v>37</v>
      </c>
      <c r="L85" s="766"/>
      <c r="M85" s="731">
        <f ca="1">DATE(YEAR(M83),MONTH(M83)+(K85-K83),1)</f>
        <v>44927</v>
      </c>
      <c r="N85" s="732"/>
      <c r="O85" s="733"/>
      <c r="P85" s="735">
        <f>G85*E85</f>
        <v>100</v>
      </c>
      <c r="Q85" s="736"/>
      <c r="R85" s="737"/>
      <c r="S85" s="950" t="str">
        <f ca="1">IF(SUM(P87:R88)&gt;S36,"Financiamento superior ao permitido na tabela","ok")</f>
        <v>ok</v>
      </c>
      <c r="T85" s="950"/>
      <c r="U85" s="950"/>
      <c r="V85" s="374"/>
      <c r="W85" s="375"/>
      <c r="X85" s="375"/>
      <c r="Y85" s="375"/>
      <c r="Z85" s="655">
        <f ca="1">IF('Proposta 1 Via'!P50&gt;0,'Proposta 1 Via'!P50,0)</f>
        <v>94.416740052375246</v>
      </c>
      <c r="AB85" s="107" t="s">
        <v>261</v>
      </c>
      <c r="AF85" s="877">
        <f ca="1">'Proposta 1 Via'!M50</f>
        <v>97.168276743200408</v>
      </c>
      <c r="AG85" s="760"/>
      <c r="AH85" s="878"/>
      <c r="AK85" s="300">
        <f ca="1">(P90-P88-P87)*'Premissas e Calculos'!G35</f>
        <v>17062.632000000001</v>
      </c>
      <c r="HL85" s="160">
        <f>Apoio!B244</f>
        <v>0</v>
      </c>
      <c r="HM85" s="94">
        <f>Apoio!C244</f>
        <v>0</v>
      </c>
      <c r="HN85" s="94">
        <f>Apoio!D244</f>
        <v>0</v>
      </c>
      <c r="HO85" s="94">
        <f>Apoio!E244</f>
        <v>0</v>
      </c>
      <c r="IC85" s="110"/>
      <c r="ID85" s="119"/>
      <c r="IE85" s="110"/>
      <c r="IO85" s="161">
        <v>120</v>
      </c>
      <c r="IP85" s="111">
        <v>1</v>
      </c>
      <c r="IQ85" s="111">
        <v>1</v>
      </c>
      <c r="IR85" s="698">
        <v>1928</v>
      </c>
      <c r="IT85" s="356" t="str">
        <f>CONCATENATE(S16,"/",T16,"/",U16)</f>
        <v>19/5/1999</v>
      </c>
      <c r="IU85" s="357">
        <f ca="1">TODAY()+120</f>
        <v>43929</v>
      </c>
      <c r="IV85" s="358">
        <f ca="1">ROUND((IU85-IT85)/30,0)</f>
        <v>254</v>
      </c>
    </row>
    <row r="86" spans="1:256" ht="15" customHeight="1" x14ac:dyDescent="0.2">
      <c r="A86" s="150"/>
      <c r="B86" s="1000"/>
      <c r="C86" s="1001"/>
      <c r="D86" s="154"/>
      <c r="E86" s="139"/>
      <c r="F86" s="139"/>
      <c r="G86" s="140"/>
      <c r="H86" s="140"/>
      <c r="I86" s="140"/>
      <c r="J86" s="110"/>
      <c r="K86" s="155"/>
      <c r="L86" s="155"/>
      <c r="M86" s="138"/>
      <c r="N86" s="138"/>
      <c r="O86" s="139"/>
      <c r="P86" s="140"/>
      <c r="Q86" s="140"/>
      <c r="R86" s="110"/>
      <c r="S86" s="110"/>
      <c r="T86" s="110"/>
      <c r="U86" s="144"/>
      <c r="V86" s="136"/>
      <c r="Z86" s="162"/>
      <c r="AB86" s="107"/>
      <c r="AF86" s="141"/>
      <c r="AG86" s="140"/>
      <c r="AH86" s="142"/>
      <c r="HL86" s="940" t="str">
        <f>Apoio!B245</f>
        <v>Fluxo de Juros da CAIXA</v>
      </c>
      <c r="HM86" s="941"/>
      <c r="HN86" s="941"/>
      <c r="HO86" s="942"/>
      <c r="IC86" s="110"/>
      <c r="ID86" s="119"/>
      <c r="IE86" s="110"/>
      <c r="IO86" s="161">
        <f>IO85+60</f>
        <v>180</v>
      </c>
      <c r="IP86" s="111">
        <v>2</v>
      </c>
      <c r="IQ86" s="111">
        <v>2</v>
      </c>
      <c r="IR86" s="698">
        <v>1929</v>
      </c>
    </row>
    <row r="87" spans="1:256" ht="33.75" customHeight="1" thickBot="1" x14ac:dyDescent="0.25">
      <c r="A87" s="150"/>
      <c r="B87" s="1000"/>
      <c r="C87" s="1001"/>
      <c r="D87" s="955" t="s">
        <v>18</v>
      </c>
      <c r="E87" s="743" t="s">
        <v>303</v>
      </c>
      <c r="F87" s="743"/>
      <c r="G87" s="743"/>
      <c r="H87" s="743"/>
      <c r="I87" s="743"/>
      <c r="J87" s="743"/>
      <c r="K87" s="959">
        <v>5</v>
      </c>
      <c r="L87" s="960"/>
      <c r="M87" s="771">
        <f ca="1">G55</f>
        <v>43931</v>
      </c>
      <c r="N87" s="771"/>
      <c r="O87" s="771"/>
      <c r="P87" s="964">
        <f>S26+S20+S34</f>
        <v>0</v>
      </c>
      <c r="Q87" s="964"/>
      <c r="R87" s="964"/>
      <c r="T87" s="948" t="s">
        <v>277</v>
      </c>
      <c r="U87" s="949"/>
      <c r="V87" s="136"/>
      <c r="Z87" s="162"/>
      <c r="AB87" s="107">
        <f ca="1">'Proposta 1 Via'!Q64</f>
        <v>157740.97387046114</v>
      </c>
      <c r="AF87" s="877">
        <f ca="1">'Proposta 1 Via'!M51</f>
        <v>0</v>
      </c>
      <c r="AG87" s="760"/>
      <c r="AH87" s="878"/>
      <c r="HL87" s="163"/>
      <c r="HM87" s="164"/>
      <c r="HN87" s="164"/>
      <c r="HO87" s="165"/>
      <c r="IC87" s="110"/>
      <c r="ID87" s="119"/>
      <c r="IE87" s="110"/>
      <c r="IO87" s="161">
        <f>IO86+60</f>
        <v>240</v>
      </c>
      <c r="IP87" s="111">
        <v>3</v>
      </c>
      <c r="IQ87" s="111">
        <v>3</v>
      </c>
      <c r="IR87" s="698">
        <v>1930</v>
      </c>
    </row>
    <row r="88" spans="1:256" ht="33.75" customHeight="1" thickBot="1" x14ac:dyDescent="0.25">
      <c r="A88" s="150"/>
      <c r="B88" s="1000"/>
      <c r="C88" s="1001"/>
      <c r="D88" s="955"/>
      <c r="E88" s="743" t="s">
        <v>192</v>
      </c>
      <c r="F88" s="743"/>
      <c r="G88" s="743"/>
      <c r="H88" s="743"/>
      <c r="I88" s="743"/>
      <c r="J88" s="743"/>
      <c r="K88" s="961"/>
      <c r="L88" s="962"/>
      <c r="M88" s="771"/>
      <c r="N88" s="771"/>
      <c r="O88" s="771"/>
      <c r="P88" s="956">
        <f ca="1">IF(S28&lt;AB87,S28,IF(T88="sim",AB87,S28))</f>
        <v>157740.97387046114</v>
      </c>
      <c r="Q88" s="956"/>
      <c r="R88" s="956"/>
      <c r="T88" s="678" t="s">
        <v>279</v>
      </c>
      <c r="U88" s="679" t="str">
        <f ca="1">IF(S36&lt;AB87,"Limite Atingido", "Possível")</f>
        <v>Possível</v>
      </c>
      <c r="V88" s="136"/>
      <c r="Z88" s="655">
        <f ca="1">'Proposta 1 Via'!P52</f>
        <v>157740.97387046114</v>
      </c>
      <c r="AB88" s="107" t="s">
        <v>262</v>
      </c>
      <c r="AF88" s="943">
        <f ca="1">'Proposta 1 Via'!M52</f>
        <v>153274.18602786912</v>
      </c>
      <c r="AG88" s="944"/>
      <c r="AH88" s="945"/>
      <c r="HL88" s="107" t="str">
        <f>Apoio!B246</f>
        <v>Taxa de Juros</v>
      </c>
      <c r="HM88" s="117">
        <f>Apoio!C246</f>
        <v>0</v>
      </c>
      <c r="HN88" s="166">
        <f>Apoio!D246</f>
        <v>8.1600000000000006E-2</v>
      </c>
      <c r="HO88" s="167" t="str">
        <f>Apoio!E246</f>
        <v>Código</v>
      </c>
      <c r="IC88" s="110"/>
      <c r="ID88" s="119"/>
      <c r="IE88" s="110"/>
      <c r="IO88" s="161">
        <f>IO87+60</f>
        <v>300</v>
      </c>
      <c r="IP88" s="111">
        <v>4</v>
      </c>
      <c r="IQ88" s="111">
        <v>4</v>
      </c>
      <c r="IR88" s="698">
        <v>1931</v>
      </c>
    </row>
    <row r="89" spans="1:256" ht="20.25" customHeight="1" thickBot="1" x14ac:dyDescent="0.25">
      <c r="A89" s="150"/>
      <c r="B89" s="1000"/>
      <c r="C89" s="1001"/>
      <c r="D89" s="168"/>
      <c r="E89" s="1008" t="str">
        <f>IF(SUM(P71,P73,P79,P75)&gt;S6*15%,"Pró-Soluto acima do permitido","")</f>
        <v/>
      </c>
      <c r="F89" s="1008"/>
      <c r="G89" s="1008"/>
      <c r="H89" s="1008"/>
      <c r="I89" s="1008"/>
      <c r="J89" s="1008"/>
      <c r="K89" s="573"/>
      <c r="L89" s="574"/>
      <c r="M89" s="387"/>
      <c r="N89" s="110"/>
      <c r="O89" s="110"/>
      <c r="P89" s="119"/>
      <c r="Q89" s="119"/>
      <c r="R89" s="110"/>
      <c r="S89" s="307" t="s">
        <v>203</v>
      </c>
      <c r="T89" s="957"/>
      <c r="U89" s="958"/>
      <c r="V89" s="946"/>
      <c r="AB89" s="107" t="s">
        <v>209</v>
      </c>
      <c r="AF89" s="145"/>
      <c r="AG89" s="145"/>
      <c r="AH89" s="145"/>
      <c r="HL89" s="107" t="str">
        <f>Apoio!B247</f>
        <v>Valor Financiado</v>
      </c>
      <c r="HM89" s="117">
        <f>Apoio!C247</f>
        <v>0</v>
      </c>
      <c r="HN89" s="169">
        <f ca="1">Apoio!D247</f>
        <v>157740.97387046114</v>
      </c>
      <c r="HO89" s="170">
        <f>Apoio!E247</f>
        <v>3</v>
      </c>
      <c r="IC89" s="110"/>
      <c r="ID89" s="119"/>
      <c r="IE89" s="110"/>
      <c r="IO89" s="161">
        <f>IO88+60</f>
        <v>360</v>
      </c>
      <c r="IP89" s="111">
        <v>5</v>
      </c>
      <c r="IQ89" s="111">
        <v>5</v>
      </c>
      <c r="IR89" s="698">
        <v>1932</v>
      </c>
    </row>
    <row r="90" spans="1:256" ht="56.25" customHeight="1" x14ac:dyDescent="0.2">
      <c r="A90" s="150"/>
      <c r="B90" s="1000"/>
      <c r="C90" s="1001"/>
      <c r="D90" s="171"/>
      <c r="E90" s="1008"/>
      <c r="F90" s="1008"/>
      <c r="G90" s="1008"/>
      <c r="H90" s="1008"/>
      <c r="I90" s="1008"/>
      <c r="J90" s="1008"/>
      <c r="K90" s="570">
        <f>IF(K3=0,L90,L91)</f>
        <v>42308</v>
      </c>
      <c r="L90" s="571">
        <v>42308</v>
      </c>
      <c r="M90" s="1006" t="s">
        <v>242</v>
      </c>
      <c r="N90" s="1006"/>
      <c r="O90" s="1007"/>
      <c r="P90" s="770">
        <f ca="1">SUM(P63,P65,P67,P69,P71,P73,P79,P83,P85,P87,P88,P75,P77)</f>
        <v>214616.41387046114</v>
      </c>
      <c r="Q90" s="770"/>
      <c r="R90" s="770"/>
      <c r="S90" s="649">
        <f ca="1">(AC57-AF90)/AC57</f>
        <v>-2.7709355294555109E-16</v>
      </c>
      <c r="T90" s="953" t="str">
        <f ca="1">IF(S90&lt;-0.00005%,"VALOR PROPOSTO EXCEDIDO",IF(S90&gt;0.00005%,"AUMENTAR PROPOSTA","PRÉ-APROVADO"))</f>
        <v>PRÉ-APROVADO</v>
      </c>
      <c r="U90" s="954"/>
      <c r="V90" s="946"/>
      <c r="AB90" s="107" t="s">
        <v>210</v>
      </c>
      <c r="AF90" s="759">
        <f ca="1">SUM(AF88,AF85,AF83,AF81,AF79,AF73,AF63,AF87,AF71,AF69,AF67,AF65)</f>
        <v>210065.01340327191</v>
      </c>
      <c r="AG90" s="760"/>
      <c r="AH90" s="761"/>
      <c r="HL90" s="172" t="str">
        <f>Apoio!B248</f>
        <v>Período</v>
      </c>
      <c r="HM90" s="172" t="str">
        <f>Apoio!C248</f>
        <v>Obra</v>
      </c>
      <c r="HN90" s="172" t="str">
        <f>Apoio!D248</f>
        <v>Desembolso</v>
      </c>
      <c r="HO90" s="173" t="str">
        <f>Apoio!E248</f>
        <v>Juros Cliente</v>
      </c>
      <c r="IC90" s="110"/>
      <c r="ID90" s="119"/>
      <c r="IE90" s="110"/>
      <c r="IO90" s="161"/>
      <c r="IP90" s="111">
        <v>6</v>
      </c>
      <c r="IQ90" s="111">
        <v>6</v>
      </c>
      <c r="IR90" s="698">
        <v>1933</v>
      </c>
    </row>
    <row r="91" spans="1:256" ht="60.75" customHeight="1" x14ac:dyDescent="0.2">
      <c r="A91" s="150"/>
      <c r="B91" s="1002"/>
      <c r="C91" s="1003"/>
      <c r="D91" s="696">
        <f>fluxos!C9</f>
        <v>1</v>
      </c>
      <c r="E91" s="970" t="str">
        <f ca="1">IF(P88&lt;30000,"Financiamento abaixo de 30.000","")</f>
        <v/>
      </c>
      <c r="F91" s="970"/>
      <c r="G91" s="970"/>
      <c r="H91" s="970"/>
      <c r="I91" s="970"/>
      <c r="J91" s="970"/>
      <c r="K91" s="636">
        <f>E73+K73</f>
        <v>6</v>
      </c>
      <c r="L91" s="572"/>
      <c r="M91" s="148"/>
      <c r="N91" s="148"/>
      <c r="O91" s="148"/>
      <c r="P91" s="148"/>
      <c r="Q91" s="347"/>
      <c r="R91" s="148"/>
      <c r="S91" s="951" t="str">
        <f ca="1">IF(SUM(P87:R88)&gt;P55,"Financiamento superior ao permitido na tabela","ok")</f>
        <v>ok</v>
      </c>
      <c r="T91" s="952"/>
      <c r="U91" s="952"/>
      <c r="V91" s="947"/>
      <c r="HL91" s="174">
        <f>Apoio!B249</f>
        <v>0</v>
      </c>
      <c r="HM91" s="175">
        <f>Apoio!C249</f>
        <v>0</v>
      </c>
      <c r="HN91" s="175">
        <f>Apoio!D249</f>
        <v>0</v>
      </c>
      <c r="HO91" s="176">
        <f>Apoio!E249</f>
        <v>0</v>
      </c>
      <c r="IC91" s="110"/>
      <c r="ID91" s="119"/>
      <c r="IE91" s="110"/>
      <c r="IO91" s="161"/>
      <c r="IP91" s="111">
        <v>7</v>
      </c>
      <c r="IQ91" s="111">
        <v>7</v>
      </c>
      <c r="IR91" s="698">
        <v>1934</v>
      </c>
    </row>
    <row r="92" spans="1:256" ht="11.25" customHeight="1" x14ac:dyDescent="0.2">
      <c r="E92" s="680"/>
      <c r="F92" s="680"/>
      <c r="G92" s="680"/>
      <c r="H92" s="680"/>
      <c r="I92" s="680"/>
      <c r="J92" s="680"/>
      <c r="AA92" s="177"/>
      <c r="AB92" s="177"/>
      <c r="HL92" s="117">
        <f>Apoio!B250</f>
        <v>1</v>
      </c>
      <c r="HM92" s="178" t="e">
        <f>Apoio!C250</f>
        <v>#N/A</v>
      </c>
      <c r="HN92" s="179" t="e">
        <f>Apoio!D250</f>
        <v>#N/A</v>
      </c>
      <c r="HO92" s="180">
        <f>Apoio!E250</f>
        <v>0</v>
      </c>
      <c r="IC92" s="110"/>
      <c r="ID92" s="119"/>
      <c r="IE92" s="110"/>
      <c r="IO92" s="161"/>
      <c r="IP92" s="111">
        <v>8</v>
      </c>
      <c r="IQ92" s="111">
        <v>8</v>
      </c>
      <c r="IR92" s="698">
        <v>1935</v>
      </c>
    </row>
    <row r="93" spans="1:256" ht="8.25" customHeight="1" x14ac:dyDescent="0.2">
      <c r="B93" s="776" t="s">
        <v>193</v>
      </c>
      <c r="C93" s="777"/>
      <c r="D93" s="778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4"/>
      <c r="AA93" s="177"/>
      <c r="AB93" s="177"/>
      <c r="HL93" s="117"/>
      <c r="HM93" s="178"/>
      <c r="HN93" s="179"/>
      <c r="HO93" s="180"/>
      <c r="IC93" s="110"/>
      <c r="ID93" s="119"/>
      <c r="IE93" s="110"/>
      <c r="IP93" s="111">
        <v>9</v>
      </c>
      <c r="IQ93" s="111">
        <v>9</v>
      </c>
      <c r="IR93" s="698">
        <v>1936</v>
      </c>
    </row>
    <row r="94" spans="1:256" ht="12.75" customHeight="1" x14ac:dyDescent="0.2">
      <c r="B94" s="779"/>
      <c r="C94" s="780"/>
      <c r="D94" s="781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36"/>
      <c r="AA94" s="177"/>
      <c r="AB94" s="177"/>
      <c r="AC94" s="177"/>
      <c r="AD94" s="177"/>
      <c r="HL94" s="117"/>
      <c r="HM94" s="178"/>
      <c r="HN94" s="179"/>
      <c r="HO94" s="180"/>
      <c r="IC94" s="110"/>
      <c r="ID94" s="119"/>
      <c r="IE94" s="110"/>
      <c r="IP94" s="111">
        <v>10</v>
      </c>
      <c r="IQ94" s="111">
        <v>10</v>
      </c>
      <c r="IR94" s="698">
        <v>1937</v>
      </c>
    </row>
    <row r="95" spans="1:256" ht="28.5" customHeight="1" x14ac:dyDescent="0.2">
      <c r="B95" s="779"/>
      <c r="C95" s="780"/>
      <c r="D95" s="781"/>
      <c r="E95" s="181"/>
      <c r="F95" s="768" t="str">
        <f>IF(G67&lt;G71,"Inconsistência a Mensal 1 não pode ser MENOR que a Mensal 2","OK")</f>
        <v>OK</v>
      </c>
      <c r="G95" s="768"/>
      <c r="H95" s="768"/>
      <c r="I95" s="769"/>
      <c r="J95" s="769"/>
      <c r="K95" s="769"/>
      <c r="L95" s="769"/>
      <c r="M95" s="769"/>
      <c r="N95" s="769"/>
      <c r="O95" s="769"/>
      <c r="P95" s="769"/>
      <c r="Q95" s="182"/>
      <c r="R95" s="182"/>
      <c r="U95" s="183"/>
      <c r="V95" s="136"/>
      <c r="AA95" s="177"/>
      <c r="AB95" s="177"/>
      <c r="AC95" s="177"/>
      <c r="AD95" s="177"/>
      <c r="HL95" s="117">
        <f>Apoio!B251</f>
        <v>2</v>
      </c>
      <c r="HM95" s="178" t="e">
        <f>Apoio!C251</f>
        <v>#N/A</v>
      </c>
      <c r="HN95" s="179" t="e">
        <f>Apoio!D251</f>
        <v>#N/A</v>
      </c>
      <c r="HO95" s="180" t="e">
        <f ca="1">Apoio!E251</f>
        <v>#N/A</v>
      </c>
      <c r="IC95" s="110"/>
      <c r="ID95" s="119"/>
      <c r="IE95" s="110"/>
      <c r="IP95" s="111">
        <v>11</v>
      </c>
      <c r="IQ95" s="111">
        <v>11</v>
      </c>
      <c r="IR95" s="698">
        <v>1938</v>
      </c>
    </row>
    <row r="96" spans="1:256" ht="23.25" customHeight="1" x14ac:dyDescent="0.2">
      <c r="B96" s="779"/>
      <c r="C96" s="780"/>
      <c r="D96" s="781"/>
      <c r="E96" s="181"/>
      <c r="F96" s="769"/>
      <c r="G96" s="769"/>
      <c r="H96" s="769"/>
      <c r="I96" s="769"/>
      <c r="J96" s="769"/>
      <c r="K96" s="769"/>
      <c r="L96" s="769"/>
      <c r="M96" s="769"/>
      <c r="N96" s="769"/>
      <c r="O96" s="769"/>
      <c r="P96" s="769"/>
      <c r="Q96" s="182"/>
      <c r="R96" s="182"/>
      <c r="U96" s="183"/>
      <c r="V96" s="136"/>
      <c r="AA96" s="177"/>
      <c r="AB96" s="177"/>
      <c r="AC96" s="177"/>
      <c r="AD96" s="177"/>
      <c r="HL96" s="117">
        <f>Apoio!B252</f>
        <v>3</v>
      </c>
      <c r="HM96" s="178" t="e">
        <f>Apoio!C252</f>
        <v>#N/A</v>
      </c>
      <c r="HN96" s="179" t="e">
        <f>Apoio!D252</f>
        <v>#N/A</v>
      </c>
      <c r="HO96" s="180" t="e">
        <f ca="1">Apoio!E252</f>
        <v>#N/A</v>
      </c>
      <c r="IC96" s="110"/>
      <c r="ID96" s="119"/>
      <c r="IE96" s="110"/>
      <c r="IP96" s="111">
        <v>12</v>
      </c>
      <c r="IQ96" s="111">
        <v>12</v>
      </c>
      <c r="IR96" s="698">
        <v>1939</v>
      </c>
    </row>
    <row r="97" spans="2:252" ht="3.75" customHeight="1" x14ac:dyDescent="0.2">
      <c r="B97" s="782"/>
      <c r="C97" s="783"/>
      <c r="D97" s="784"/>
      <c r="E97" s="148"/>
      <c r="F97" s="148"/>
      <c r="G97" s="148"/>
      <c r="H97" s="148"/>
      <c r="I97" s="148"/>
      <c r="J97" s="148"/>
      <c r="K97" s="148"/>
      <c r="L97" s="148"/>
      <c r="M97" s="184"/>
      <c r="N97" s="184"/>
      <c r="O97" s="148"/>
      <c r="P97" s="148"/>
      <c r="Q97" s="148"/>
      <c r="R97" s="148"/>
      <c r="S97" s="148"/>
      <c r="T97" s="148"/>
      <c r="U97" s="148"/>
      <c r="V97" s="149"/>
      <c r="HL97" s="117">
        <f>Apoio!B253</f>
        <v>4</v>
      </c>
      <c r="HM97" s="178" t="e">
        <f>Apoio!C253</f>
        <v>#N/A</v>
      </c>
      <c r="HN97" s="179" t="e">
        <f>Apoio!D253</f>
        <v>#N/A</v>
      </c>
      <c r="HO97" s="180" t="e">
        <f ca="1">Apoio!E253</f>
        <v>#N/A</v>
      </c>
      <c r="IC97" s="110"/>
      <c r="ID97" s="119"/>
      <c r="IE97" s="110"/>
      <c r="IP97" s="111">
        <v>13</v>
      </c>
      <c r="IQ97" s="111"/>
      <c r="IR97" s="698">
        <v>1940</v>
      </c>
    </row>
    <row r="98" spans="2:252" ht="9.75" customHeight="1" x14ac:dyDescent="0.2">
      <c r="B98" s="775"/>
      <c r="C98" s="775"/>
      <c r="D98" s="775"/>
      <c r="E98" s="775"/>
      <c r="F98" s="775"/>
      <c r="G98" s="775"/>
      <c r="H98" s="775"/>
      <c r="I98" s="775"/>
      <c r="J98" s="775"/>
      <c r="K98" s="775"/>
      <c r="L98" s="775"/>
      <c r="M98" s="775"/>
      <c r="N98" s="775"/>
      <c r="O98" s="775"/>
      <c r="P98" s="775"/>
      <c r="Q98" s="775"/>
      <c r="R98" s="775"/>
      <c r="S98" s="775"/>
      <c r="T98" s="775"/>
      <c r="U98" s="775"/>
      <c r="V98" s="775"/>
      <c r="W98" s="775"/>
      <c r="HL98" s="117">
        <f>Apoio!B254</f>
        <v>5</v>
      </c>
      <c r="HM98" s="178" t="e">
        <f>Apoio!C254</f>
        <v>#N/A</v>
      </c>
      <c r="HN98" s="179" t="e">
        <f>Apoio!D254</f>
        <v>#N/A</v>
      </c>
      <c r="HO98" s="180" t="e">
        <f ca="1">Apoio!E254</f>
        <v>#N/A</v>
      </c>
      <c r="IC98" s="110"/>
      <c r="ID98" s="119"/>
      <c r="IE98" s="110"/>
      <c r="IP98" s="111">
        <v>14</v>
      </c>
      <c r="IQ98" s="111"/>
      <c r="IR98" s="698">
        <v>1941</v>
      </c>
    </row>
    <row r="99" spans="2:252" ht="2.25" customHeight="1" x14ac:dyDescent="0.2">
      <c r="B99" s="775"/>
      <c r="C99" s="775"/>
      <c r="D99" s="775"/>
      <c r="E99" s="775"/>
      <c r="F99" s="775"/>
      <c r="G99" s="775"/>
      <c r="H99" s="775"/>
      <c r="I99" s="775"/>
      <c r="J99" s="775"/>
      <c r="K99" s="775"/>
      <c r="L99" s="775"/>
      <c r="M99" s="775"/>
      <c r="N99" s="775"/>
      <c r="O99" s="775"/>
      <c r="P99" s="775"/>
      <c r="Q99" s="775"/>
      <c r="R99" s="775"/>
      <c r="S99" s="775"/>
      <c r="T99" s="775"/>
      <c r="U99" s="775"/>
      <c r="V99" s="775"/>
      <c r="W99" s="775"/>
      <c r="HL99" s="117">
        <f>Apoio!B255</f>
        <v>6</v>
      </c>
      <c r="HM99" s="178" t="e">
        <f>Apoio!C255</f>
        <v>#N/A</v>
      </c>
      <c r="HN99" s="179" t="e">
        <f>Apoio!D255</f>
        <v>#N/A</v>
      </c>
      <c r="HO99" s="180" t="e">
        <f ca="1">Apoio!E255</f>
        <v>#N/A</v>
      </c>
      <c r="IC99" s="110"/>
      <c r="ID99" s="119"/>
      <c r="IE99" s="110"/>
      <c r="IP99" s="111">
        <v>15</v>
      </c>
      <c r="IQ99" s="111"/>
      <c r="IR99" s="698">
        <v>1942</v>
      </c>
    </row>
    <row r="100" spans="2:252" ht="9.9499999999999993" customHeight="1" x14ac:dyDescent="0.2">
      <c r="B100" s="775"/>
      <c r="C100" s="775"/>
      <c r="D100" s="775"/>
      <c r="E100" s="775"/>
      <c r="F100" s="775"/>
      <c r="G100" s="775"/>
      <c r="H100" s="775"/>
      <c r="I100" s="775"/>
      <c r="J100" s="775"/>
      <c r="K100" s="775"/>
      <c r="L100" s="775"/>
      <c r="M100" s="775"/>
      <c r="N100" s="775"/>
      <c r="O100" s="775"/>
      <c r="P100" s="775"/>
      <c r="Q100" s="775"/>
      <c r="R100" s="775"/>
      <c r="S100" s="775"/>
      <c r="T100" s="775"/>
      <c r="U100" s="775"/>
      <c r="V100" s="775"/>
      <c r="W100" s="775"/>
      <c r="HL100" s="117">
        <f>Apoio!B256</f>
        <v>7</v>
      </c>
      <c r="HM100" s="178" t="e">
        <f>Apoio!C256</f>
        <v>#N/A</v>
      </c>
      <c r="HN100" s="179" t="e">
        <f>Apoio!D256</f>
        <v>#N/A</v>
      </c>
      <c r="HO100" s="180" t="e">
        <f ca="1">Apoio!E256</f>
        <v>#N/A</v>
      </c>
      <c r="IC100" s="110"/>
      <c r="ID100" s="110"/>
      <c r="IE100" s="110"/>
      <c r="IP100" s="111">
        <v>16</v>
      </c>
      <c r="IR100" s="698">
        <v>1943</v>
      </c>
    </row>
    <row r="101" spans="2:252" ht="9.9499999999999993" customHeight="1" x14ac:dyDescent="0.2">
      <c r="B101" s="775"/>
      <c r="C101" s="775"/>
      <c r="D101" s="775"/>
      <c r="E101" s="775"/>
      <c r="F101" s="775"/>
      <c r="G101" s="775"/>
      <c r="H101" s="775"/>
      <c r="I101" s="775"/>
      <c r="J101" s="775"/>
      <c r="K101" s="775"/>
      <c r="L101" s="775"/>
      <c r="M101" s="775"/>
      <c r="N101" s="775"/>
      <c r="O101" s="775"/>
      <c r="P101" s="775"/>
      <c r="Q101" s="775"/>
      <c r="R101" s="775"/>
      <c r="S101" s="775"/>
      <c r="T101" s="775"/>
      <c r="U101" s="775"/>
      <c r="V101" s="775"/>
      <c r="W101" s="775"/>
      <c r="HL101" s="117">
        <f>Apoio!B257</f>
        <v>8</v>
      </c>
      <c r="HM101" s="178" t="e">
        <f>Apoio!C257</f>
        <v>#N/A</v>
      </c>
      <c r="HN101" s="179" t="e">
        <f>Apoio!D257</f>
        <v>#N/A</v>
      </c>
      <c r="HO101" s="180" t="e">
        <f ca="1">Apoio!E257</f>
        <v>#N/A</v>
      </c>
      <c r="IC101" s="110"/>
      <c r="ID101" s="110"/>
      <c r="IE101" s="110"/>
      <c r="IP101" s="111">
        <v>17</v>
      </c>
      <c r="IR101" s="698">
        <v>1944</v>
      </c>
    </row>
    <row r="102" spans="2:252" ht="12.75" customHeight="1" x14ac:dyDescent="0.2">
      <c r="B102" s="775"/>
      <c r="C102" s="775"/>
      <c r="D102" s="775"/>
      <c r="E102" s="775"/>
      <c r="F102" s="775"/>
      <c r="G102" s="775"/>
      <c r="H102" s="775"/>
      <c r="I102" s="775"/>
      <c r="J102" s="775"/>
      <c r="K102" s="775"/>
      <c r="L102" s="775"/>
      <c r="M102" s="775"/>
      <c r="N102" s="775"/>
      <c r="O102" s="775"/>
      <c r="P102" s="775"/>
      <c r="Q102" s="775"/>
      <c r="R102" s="775"/>
      <c r="S102" s="775"/>
      <c r="T102" s="775"/>
      <c r="U102" s="775"/>
      <c r="V102" s="775"/>
      <c r="W102" s="775"/>
      <c r="HL102" s="117">
        <f>Apoio!B258</f>
        <v>9</v>
      </c>
      <c r="HM102" s="178" t="e">
        <f>Apoio!C258</f>
        <v>#N/A</v>
      </c>
      <c r="HN102" s="179" t="e">
        <f>Apoio!D258</f>
        <v>#N/A</v>
      </c>
      <c r="HO102" s="180" t="e">
        <f ca="1">Apoio!E258</f>
        <v>#N/A</v>
      </c>
      <c r="IC102" s="110"/>
      <c r="ID102" s="110"/>
      <c r="IE102" s="110"/>
      <c r="IP102" s="111">
        <v>18</v>
      </c>
      <c r="IR102" s="698">
        <v>1945</v>
      </c>
    </row>
    <row r="103" spans="2:252" ht="12.75" customHeight="1" x14ac:dyDescent="0.2">
      <c r="B103" s="817" t="s">
        <v>238</v>
      </c>
      <c r="C103" s="817"/>
      <c r="D103" s="817"/>
      <c r="E103" s="817"/>
      <c r="F103" s="817"/>
      <c r="G103" s="817"/>
      <c r="H103" s="817"/>
      <c r="I103" s="817"/>
      <c r="J103" s="817"/>
      <c r="K103" s="817"/>
      <c r="L103" s="817"/>
      <c r="M103" s="817"/>
      <c r="N103" s="817"/>
      <c r="O103" s="817"/>
      <c r="P103" s="817"/>
      <c r="Q103" s="817"/>
      <c r="R103" s="817"/>
      <c r="S103" s="817"/>
      <c r="T103" s="817"/>
      <c r="U103" s="817"/>
      <c r="V103" s="817"/>
      <c r="W103" s="817"/>
      <c r="AF103" s="817" t="s">
        <v>197</v>
      </c>
      <c r="AG103" s="817"/>
      <c r="AH103" s="817"/>
      <c r="AI103" s="817"/>
      <c r="AJ103" s="817"/>
      <c r="AK103" s="817"/>
      <c r="AL103" s="817"/>
      <c r="AM103" s="817"/>
      <c r="AN103" s="817"/>
      <c r="AO103" s="817"/>
      <c r="AP103" s="817"/>
      <c r="AQ103" s="817"/>
      <c r="AR103" s="817"/>
      <c r="AS103" s="817"/>
      <c r="AT103" s="817"/>
      <c r="AU103" s="817"/>
      <c r="AV103" s="817"/>
      <c r="AW103" s="817"/>
      <c r="AX103" s="817"/>
      <c r="AY103" s="817"/>
      <c r="AZ103" s="817"/>
      <c r="BA103" s="817"/>
      <c r="HL103" s="117">
        <f>Apoio!B259</f>
        <v>10</v>
      </c>
      <c r="HM103" s="178" t="e">
        <f>Apoio!C259</f>
        <v>#N/A</v>
      </c>
      <c r="HN103" s="179" t="e">
        <f>Apoio!D259</f>
        <v>#N/A</v>
      </c>
      <c r="HO103" s="180" t="e">
        <f ca="1">Apoio!E259</f>
        <v>#N/A</v>
      </c>
      <c r="IC103" s="110"/>
      <c r="ID103" s="110"/>
      <c r="IE103" s="110"/>
      <c r="IP103" s="111">
        <v>19</v>
      </c>
      <c r="IR103" s="698">
        <v>1946</v>
      </c>
    </row>
    <row r="104" spans="2:252" ht="12.75" customHeight="1" x14ac:dyDescent="0.2">
      <c r="B104" s="817"/>
      <c r="C104" s="817"/>
      <c r="D104" s="817"/>
      <c r="E104" s="817"/>
      <c r="F104" s="817"/>
      <c r="G104" s="817"/>
      <c r="H104" s="817"/>
      <c r="I104" s="817"/>
      <c r="J104" s="817"/>
      <c r="K104" s="817"/>
      <c r="L104" s="817"/>
      <c r="M104" s="817"/>
      <c r="N104" s="817"/>
      <c r="O104" s="817"/>
      <c r="P104" s="817"/>
      <c r="Q104" s="817"/>
      <c r="R104" s="817"/>
      <c r="S104" s="817"/>
      <c r="T104" s="817"/>
      <c r="U104" s="817"/>
      <c r="V104" s="817"/>
      <c r="W104" s="817"/>
      <c r="AF104" s="817"/>
      <c r="AG104" s="817"/>
      <c r="AH104" s="817"/>
      <c r="AI104" s="817"/>
      <c r="AJ104" s="817"/>
      <c r="AK104" s="817"/>
      <c r="AL104" s="817"/>
      <c r="AM104" s="817"/>
      <c r="AN104" s="817"/>
      <c r="AO104" s="817"/>
      <c r="AP104" s="817"/>
      <c r="AQ104" s="817"/>
      <c r="AR104" s="817"/>
      <c r="AS104" s="817"/>
      <c r="AT104" s="817"/>
      <c r="AU104" s="817"/>
      <c r="AV104" s="817"/>
      <c r="AW104" s="817"/>
      <c r="AX104" s="817"/>
      <c r="AY104" s="817"/>
      <c r="AZ104" s="817"/>
      <c r="BA104" s="817"/>
      <c r="HL104" s="117">
        <f>Apoio!B260</f>
        <v>11</v>
      </c>
      <c r="HM104" s="178" t="e">
        <f>Apoio!C260</f>
        <v>#N/A</v>
      </c>
      <c r="HN104" s="179" t="e">
        <f>Apoio!D260</f>
        <v>#N/A</v>
      </c>
      <c r="HO104" s="180" t="e">
        <f ca="1">Apoio!E260</f>
        <v>#N/A</v>
      </c>
      <c r="IC104" s="110"/>
      <c r="ID104" s="110"/>
      <c r="IE104" s="110"/>
      <c r="IP104" s="111">
        <v>20</v>
      </c>
      <c r="IR104" s="698">
        <v>1947</v>
      </c>
    </row>
    <row r="105" spans="2:252" ht="12.75" customHeight="1" x14ac:dyDescent="0.2">
      <c r="B105" s="817"/>
      <c r="C105" s="817"/>
      <c r="D105" s="817"/>
      <c r="E105" s="817"/>
      <c r="F105" s="817"/>
      <c r="G105" s="817"/>
      <c r="H105" s="817"/>
      <c r="I105" s="817"/>
      <c r="J105" s="817"/>
      <c r="K105" s="817"/>
      <c r="L105" s="817"/>
      <c r="M105" s="817"/>
      <c r="N105" s="817"/>
      <c r="O105" s="817"/>
      <c r="P105" s="817"/>
      <c r="Q105" s="817"/>
      <c r="R105" s="817"/>
      <c r="S105" s="817"/>
      <c r="T105" s="817"/>
      <c r="U105" s="817"/>
      <c r="V105" s="817"/>
      <c r="W105" s="817"/>
      <c r="AF105" s="817"/>
      <c r="AG105" s="817"/>
      <c r="AH105" s="817"/>
      <c r="AI105" s="817"/>
      <c r="AJ105" s="817"/>
      <c r="AK105" s="817"/>
      <c r="AL105" s="817"/>
      <c r="AM105" s="817"/>
      <c r="AN105" s="817"/>
      <c r="AO105" s="817"/>
      <c r="AP105" s="817"/>
      <c r="AQ105" s="817"/>
      <c r="AR105" s="817"/>
      <c r="AS105" s="817"/>
      <c r="AT105" s="817"/>
      <c r="AU105" s="817"/>
      <c r="AV105" s="817"/>
      <c r="AW105" s="817"/>
      <c r="AX105" s="817"/>
      <c r="AY105" s="817"/>
      <c r="AZ105" s="817"/>
      <c r="BA105" s="817"/>
      <c r="HL105" s="117">
        <f>Apoio!B261</f>
        <v>12</v>
      </c>
      <c r="HM105" s="178" t="e">
        <f>Apoio!C261</f>
        <v>#N/A</v>
      </c>
      <c r="HN105" s="179" t="e">
        <f>Apoio!D261</f>
        <v>#N/A</v>
      </c>
      <c r="HO105" s="180" t="e">
        <f ca="1">Apoio!E261</f>
        <v>#N/A</v>
      </c>
      <c r="IC105" s="110"/>
      <c r="ID105" s="110"/>
      <c r="IE105" s="110"/>
      <c r="IP105" s="111">
        <v>21</v>
      </c>
      <c r="IR105" s="698">
        <v>1948</v>
      </c>
    </row>
    <row r="106" spans="2:252" ht="12.75" customHeight="1" x14ac:dyDescent="0.2">
      <c r="HL106" s="117">
        <f>Apoio!B262</f>
        <v>13</v>
      </c>
      <c r="HM106" s="178" t="e">
        <f>Apoio!C262</f>
        <v>#N/A</v>
      </c>
      <c r="HN106" s="179" t="e">
        <f>Apoio!D262</f>
        <v>#N/A</v>
      </c>
      <c r="HO106" s="180" t="e">
        <f ca="1">Apoio!E262</f>
        <v>#N/A</v>
      </c>
      <c r="IC106" s="110"/>
      <c r="ID106" s="110"/>
      <c r="IE106" s="110"/>
      <c r="IP106" s="111">
        <v>22</v>
      </c>
      <c r="IR106" s="698">
        <v>1949</v>
      </c>
    </row>
    <row r="107" spans="2:252" ht="12.75" customHeight="1" x14ac:dyDescent="0.2">
      <c r="C107" s="734" t="s">
        <v>265</v>
      </c>
      <c r="D107" s="734"/>
      <c r="E107" s="306"/>
      <c r="F107" s="734" t="s">
        <v>184</v>
      </c>
      <c r="G107" s="734"/>
      <c r="H107" s="734"/>
      <c r="I107" s="734"/>
      <c r="J107" s="734" t="s">
        <v>198</v>
      </c>
      <c r="K107" s="734"/>
      <c r="L107" s="734"/>
      <c r="M107" s="734"/>
      <c r="N107" s="734" t="s">
        <v>199</v>
      </c>
      <c r="O107" s="734"/>
      <c r="P107" s="734"/>
      <c r="Q107" s="734"/>
      <c r="R107" s="734"/>
      <c r="S107" s="734" t="s">
        <v>229</v>
      </c>
      <c r="T107" s="734"/>
      <c r="U107" s="734"/>
      <c r="V107" s="196"/>
      <c r="AG107" s="930" t="s">
        <v>228</v>
      </c>
      <c r="AH107" s="932"/>
      <c r="AJ107" s="930" t="s">
        <v>182</v>
      </c>
      <c r="AK107" s="931"/>
      <c r="AL107" s="931"/>
      <c r="AM107" s="932"/>
      <c r="AN107" s="905" t="s">
        <v>181</v>
      </c>
      <c r="AO107" s="905"/>
      <c r="AP107" s="905"/>
      <c r="AQ107" s="905"/>
      <c r="AR107" s="917" t="s">
        <v>179</v>
      </c>
      <c r="AS107" s="918"/>
      <c r="AT107" s="918"/>
      <c r="AU107" s="919"/>
      <c r="AV107" s="185"/>
      <c r="AW107" s="930" t="s">
        <v>180</v>
      </c>
      <c r="AX107" s="931"/>
      <c r="AY107" s="932"/>
      <c r="IO107" s="89"/>
      <c r="IP107" s="111">
        <v>23</v>
      </c>
      <c r="IR107" s="698">
        <v>1950</v>
      </c>
    </row>
    <row r="108" spans="2:252" ht="12.75" customHeight="1" x14ac:dyDescent="0.2">
      <c r="C108" s="734"/>
      <c r="D108" s="734"/>
      <c r="E108" s="306"/>
      <c r="F108" s="734"/>
      <c r="G108" s="734"/>
      <c r="H108" s="734"/>
      <c r="I108" s="734"/>
      <c r="J108" s="734"/>
      <c r="K108" s="734"/>
      <c r="L108" s="734"/>
      <c r="M108" s="734"/>
      <c r="N108" s="734"/>
      <c r="O108" s="734"/>
      <c r="P108" s="734"/>
      <c r="Q108" s="734"/>
      <c r="R108" s="734"/>
      <c r="S108" s="734"/>
      <c r="T108" s="734"/>
      <c r="U108" s="734"/>
      <c r="V108" s="196"/>
      <c r="AG108" s="930"/>
      <c r="AH108" s="932"/>
      <c r="AJ108" s="930"/>
      <c r="AK108" s="931"/>
      <c r="AL108" s="931"/>
      <c r="AM108" s="932"/>
      <c r="AN108" s="905"/>
      <c r="AO108" s="905"/>
      <c r="AP108" s="905"/>
      <c r="AQ108" s="905"/>
      <c r="AR108" s="920"/>
      <c r="AS108" s="921"/>
      <c r="AT108" s="921"/>
      <c r="AU108" s="922"/>
      <c r="AV108" s="186"/>
      <c r="AW108" s="930"/>
      <c r="AX108" s="931"/>
      <c r="AY108" s="932"/>
      <c r="HL108" s="117">
        <f>Apoio!B263</f>
        <v>14</v>
      </c>
      <c r="HM108" s="178" t="e">
        <f>Apoio!C263</f>
        <v>#N/A</v>
      </c>
      <c r="HN108" s="179" t="e">
        <f>Apoio!D263</f>
        <v>#N/A</v>
      </c>
      <c r="HO108" s="180" t="e">
        <f ca="1">Apoio!E263</f>
        <v>#N/A</v>
      </c>
      <c r="IC108" s="110"/>
      <c r="ID108" s="110"/>
      <c r="IE108" s="110"/>
      <c r="IP108" s="111">
        <v>24</v>
      </c>
      <c r="IR108" s="698">
        <v>1951</v>
      </c>
    </row>
    <row r="109" spans="2:252" ht="12.75" customHeight="1" x14ac:dyDescent="0.2">
      <c r="C109" s="734"/>
      <c r="D109" s="734"/>
      <c r="E109" s="306"/>
      <c r="F109" s="734"/>
      <c r="G109" s="734"/>
      <c r="H109" s="734"/>
      <c r="I109" s="734"/>
      <c r="J109" s="734"/>
      <c r="K109" s="734"/>
      <c r="L109" s="734"/>
      <c r="M109" s="734"/>
      <c r="N109" s="734"/>
      <c r="O109" s="734"/>
      <c r="P109" s="734"/>
      <c r="Q109" s="734"/>
      <c r="R109" s="734"/>
      <c r="S109" s="734"/>
      <c r="T109" s="734"/>
      <c r="U109" s="734"/>
      <c r="V109" s="196"/>
      <c r="AG109" s="930"/>
      <c r="AH109" s="932"/>
      <c r="AJ109" s="930"/>
      <c r="AK109" s="931"/>
      <c r="AL109" s="931"/>
      <c r="AM109" s="932"/>
      <c r="AN109" s="905"/>
      <c r="AO109" s="905"/>
      <c r="AP109" s="905"/>
      <c r="AQ109" s="905"/>
      <c r="AR109" s="920"/>
      <c r="AS109" s="921"/>
      <c r="AT109" s="921"/>
      <c r="AU109" s="922"/>
      <c r="AV109" s="186"/>
      <c r="AW109" s="930"/>
      <c r="AX109" s="931"/>
      <c r="AY109" s="932"/>
      <c r="HL109" s="117">
        <f>Apoio!B264</f>
        <v>15</v>
      </c>
      <c r="HM109" s="178" t="e">
        <f>Apoio!C264</f>
        <v>#N/A</v>
      </c>
      <c r="HN109" s="179" t="e">
        <f>Apoio!D264</f>
        <v>#N/A</v>
      </c>
      <c r="HO109" s="180" t="e">
        <f ca="1">Apoio!E264</f>
        <v>#N/A</v>
      </c>
      <c r="IC109" s="110"/>
      <c r="ID109" s="110"/>
      <c r="IE109" s="110"/>
      <c r="IP109" s="111">
        <v>25</v>
      </c>
      <c r="IR109" s="698">
        <v>1952</v>
      </c>
    </row>
    <row r="110" spans="2:252" ht="18" customHeight="1" x14ac:dyDescent="0.2">
      <c r="C110" s="734"/>
      <c r="D110" s="734"/>
      <c r="E110" s="306"/>
      <c r="F110" s="734"/>
      <c r="G110" s="734"/>
      <c r="H110" s="734"/>
      <c r="I110" s="734"/>
      <c r="J110" s="734"/>
      <c r="K110" s="734"/>
      <c r="L110" s="734"/>
      <c r="M110" s="734"/>
      <c r="N110" s="734"/>
      <c r="O110" s="734"/>
      <c r="P110" s="734"/>
      <c r="Q110" s="734"/>
      <c r="R110" s="734"/>
      <c r="S110" s="734"/>
      <c r="T110" s="734"/>
      <c r="U110" s="734"/>
      <c r="V110" s="196"/>
      <c r="AG110" s="930"/>
      <c r="AH110" s="932"/>
      <c r="AJ110" s="930"/>
      <c r="AK110" s="931"/>
      <c r="AL110" s="931"/>
      <c r="AM110" s="932"/>
      <c r="AN110" s="905"/>
      <c r="AO110" s="905"/>
      <c r="AP110" s="905"/>
      <c r="AQ110" s="905"/>
      <c r="AR110" s="920"/>
      <c r="AS110" s="921"/>
      <c r="AT110" s="921"/>
      <c r="AU110" s="922"/>
      <c r="AV110" s="186"/>
      <c r="AW110" s="930"/>
      <c r="AX110" s="931"/>
      <c r="AY110" s="932"/>
      <c r="BC110" s="896" t="s">
        <v>194</v>
      </c>
      <c r="BD110" s="897"/>
      <c r="BE110" s="898"/>
      <c r="BF110" s="896" t="s">
        <v>206</v>
      </c>
      <c r="BG110" s="897"/>
      <c r="BH110" s="898"/>
      <c r="BI110" s="887" t="s">
        <v>102</v>
      </c>
      <c r="BJ110" s="888"/>
      <c r="BK110" s="889"/>
      <c r="HL110" s="117">
        <f>Apoio!B265</f>
        <v>16</v>
      </c>
      <c r="HM110" s="178" t="e">
        <f>Apoio!C265</f>
        <v>#N/A</v>
      </c>
      <c r="HN110" s="179" t="e">
        <f>Apoio!D265</f>
        <v>#N/A</v>
      </c>
      <c r="HO110" s="180" t="e">
        <f ca="1">Apoio!E265</f>
        <v>#N/A</v>
      </c>
      <c r="IC110" s="110"/>
      <c r="ID110" s="110"/>
      <c r="IE110" s="110"/>
      <c r="IP110" s="111">
        <v>26</v>
      </c>
      <c r="IR110" s="698">
        <v>1953</v>
      </c>
    </row>
    <row r="111" spans="2:252" ht="12.75" customHeight="1" x14ac:dyDescent="0.2">
      <c r="C111" s="734"/>
      <c r="D111" s="734"/>
      <c r="E111" s="306"/>
      <c r="F111" s="734"/>
      <c r="G111" s="734"/>
      <c r="H111" s="734"/>
      <c r="I111" s="734"/>
      <c r="J111" s="734"/>
      <c r="K111" s="734"/>
      <c r="L111" s="734"/>
      <c r="M111" s="734"/>
      <c r="N111" s="734"/>
      <c r="O111" s="734"/>
      <c r="P111" s="734"/>
      <c r="Q111" s="734"/>
      <c r="R111" s="734"/>
      <c r="S111" s="734"/>
      <c r="T111" s="734"/>
      <c r="U111" s="734"/>
      <c r="V111" s="196"/>
      <c r="AG111" s="930"/>
      <c r="AH111" s="932"/>
      <c r="AJ111" s="930"/>
      <c r="AK111" s="931"/>
      <c r="AL111" s="931"/>
      <c r="AM111" s="932"/>
      <c r="AN111" s="905"/>
      <c r="AO111" s="905"/>
      <c r="AP111" s="905"/>
      <c r="AQ111" s="905"/>
      <c r="AR111" s="923"/>
      <c r="AS111" s="924"/>
      <c r="AT111" s="924"/>
      <c r="AU111" s="925"/>
      <c r="AV111" s="185"/>
      <c r="AW111" s="930"/>
      <c r="AX111" s="931"/>
      <c r="AY111" s="932"/>
      <c r="BC111" s="899"/>
      <c r="BD111" s="900"/>
      <c r="BE111" s="901"/>
      <c r="BF111" s="899"/>
      <c r="BG111" s="900"/>
      <c r="BH111" s="901"/>
      <c r="BI111" s="890"/>
      <c r="BJ111" s="891"/>
      <c r="BK111" s="892"/>
      <c r="HL111" s="117">
        <f>Apoio!B266</f>
        <v>17</v>
      </c>
      <c r="HM111" s="178" t="e">
        <f>Apoio!C266</f>
        <v>#N/A</v>
      </c>
      <c r="HN111" s="179" t="e">
        <f>Apoio!D266</f>
        <v>#N/A</v>
      </c>
      <c r="HO111" s="180" t="e">
        <f ca="1">Apoio!E266</f>
        <v>#N/A</v>
      </c>
      <c r="IC111" s="110"/>
      <c r="ID111" s="110"/>
      <c r="IE111" s="110"/>
      <c r="IP111" s="111">
        <v>27</v>
      </c>
      <c r="IR111" s="698">
        <v>1954</v>
      </c>
    </row>
    <row r="112" spans="2:252" ht="12.75" customHeight="1" x14ac:dyDescent="0.2">
      <c r="C112" s="752">
        <f ca="1">SUM(P87:R88)</f>
        <v>157740.97387046114</v>
      </c>
      <c r="D112" s="752"/>
      <c r="E112" s="195"/>
      <c r="F112" s="752">
        <f ca="1">P88</f>
        <v>157740.97387046114</v>
      </c>
      <c r="G112" s="752"/>
      <c r="H112" s="752"/>
      <c r="I112" s="752"/>
      <c r="J112" s="752">
        <f ca="1">IF(Z20=1,(F112/G30)+(F112*F28)+'Premissas e Calculos'!R32,-PMT((F28),$G$30,$F$112,0,0)+'Premissas e Calculos'!$R$32)</f>
        <v>1730.7504294007342</v>
      </c>
      <c r="K112" s="752"/>
      <c r="L112" s="752"/>
      <c r="M112" s="752"/>
      <c r="N112" s="752">
        <f ca="1">IF(Z20=1,F112/G30+'Premissas e Calculos'!R32,J112)</f>
        <v>696.25405779358812</v>
      </c>
      <c r="O112" s="752"/>
      <c r="P112" s="752"/>
      <c r="Q112" s="752"/>
      <c r="R112" s="972"/>
      <c r="S112" s="988">
        <f>G30</f>
        <v>240</v>
      </c>
      <c r="T112" s="988"/>
      <c r="U112" s="988"/>
      <c r="AF112" s="187"/>
      <c r="AG112" s="980">
        <f>F20*90%</f>
        <v>5850</v>
      </c>
      <c r="AH112" s="982"/>
      <c r="AJ112" s="980">
        <f>'Premissas e Calculos'!M19</f>
        <v>1733.34</v>
      </c>
      <c r="AK112" s="981"/>
      <c r="AL112" s="981"/>
      <c r="AM112" s="982"/>
      <c r="AN112" s="906">
        <f>Apoio!I248</f>
        <v>38</v>
      </c>
      <c r="AO112" s="906"/>
      <c r="AP112" s="906"/>
      <c r="AQ112" s="906"/>
      <c r="AR112" s="933" t="e">
        <f>(MAXA(IF(#REF!="Mensal",#REF!,0),IF(#REF!="Mensal",#REF!,0),IF(D81="Mensal",G81,0),IF(D83="mensal",G83,0))+(SUMIF(D73:D83,"anual",G73:G85)/12 +SUMIF(D73:D83,"semestral",G73:G85)/6+P85/(AN112+3)))</f>
        <v>#REF!</v>
      </c>
      <c r="AS112" s="934"/>
      <c r="AT112" s="934"/>
      <c r="AU112" s="935"/>
      <c r="AV112" s="188"/>
      <c r="AW112" s="913" t="e">
        <f>IF(AR112&gt;AJ112,"Não Aprovado","Crédito Pré-Aprovado")</f>
        <v>#REF!</v>
      </c>
      <c r="AX112" s="914"/>
      <c r="AY112" s="915"/>
      <c r="BC112" s="902"/>
      <c r="BD112" s="903"/>
      <c r="BE112" s="904"/>
      <c r="BF112" s="902"/>
      <c r="BG112" s="903"/>
      <c r="BH112" s="904"/>
      <c r="BI112" s="893"/>
      <c r="BJ112" s="894"/>
      <c r="BK112" s="895"/>
      <c r="HL112" s="117">
        <f>Apoio!B267</f>
        <v>18</v>
      </c>
      <c r="HM112" s="178" t="e">
        <f>Apoio!C267</f>
        <v>#N/A</v>
      </c>
      <c r="HN112" s="179" t="e">
        <f>Apoio!D267</f>
        <v>#N/A</v>
      </c>
      <c r="HO112" s="180" t="e">
        <f ca="1">Apoio!E267</f>
        <v>#N/A</v>
      </c>
      <c r="IC112" s="110"/>
      <c r="ID112" s="110"/>
      <c r="IE112" s="110"/>
      <c r="IP112" s="111">
        <v>28</v>
      </c>
      <c r="IR112" s="698">
        <v>1955</v>
      </c>
    </row>
    <row r="113" spans="2:252" ht="21" customHeight="1" x14ac:dyDescent="0.2">
      <c r="C113" s="752"/>
      <c r="D113" s="752"/>
      <c r="E113" s="195"/>
      <c r="F113" s="752"/>
      <c r="G113" s="752"/>
      <c r="H113" s="752"/>
      <c r="I113" s="752"/>
      <c r="J113" s="752"/>
      <c r="K113" s="752"/>
      <c r="L113" s="752"/>
      <c r="M113" s="752"/>
      <c r="N113" s="752"/>
      <c r="O113" s="752"/>
      <c r="P113" s="752"/>
      <c r="Q113" s="752"/>
      <c r="R113" s="972"/>
      <c r="S113" s="988"/>
      <c r="T113" s="988"/>
      <c r="U113" s="988"/>
      <c r="AG113" s="980"/>
      <c r="AH113" s="982"/>
      <c r="AJ113" s="980"/>
      <c r="AK113" s="981"/>
      <c r="AL113" s="981"/>
      <c r="AM113" s="982"/>
      <c r="AN113" s="906"/>
      <c r="AO113" s="906"/>
      <c r="AP113" s="906"/>
      <c r="AQ113" s="906"/>
      <c r="AR113" s="936"/>
      <c r="AS113" s="937"/>
      <c r="AT113" s="937"/>
      <c r="AU113" s="938"/>
      <c r="AV113" s="188"/>
      <c r="AW113" s="913"/>
      <c r="AX113" s="914"/>
      <c r="AY113" s="915"/>
      <c r="BC113" s="916" t="e">
        <f ca="1">AR112+SUM(Apoio!E250:E289)/'Simulador CEF'!AN112</f>
        <v>#REF!</v>
      </c>
      <c r="BD113" s="916"/>
      <c r="BE113" s="916"/>
      <c r="BF113" s="926" t="e">
        <f ca="1">IF(BC113&gt;BI113,"Parcela superior ao permitido. Aumentar a entrada ou o valor financiado.","Crédito Aprovado!")</f>
        <v>#REF!</v>
      </c>
      <c r="BG113" s="927"/>
      <c r="BH113" s="928"/>
      <c r="BI113" s="907">
        <f ca="1">'Premissas e Calculos'!M17</f>
        <v>1868.8694117647058</v>
      </c>
      <c r="BJ113" s="908"/>
      <c r="BK113" s="909"/>
      <c r="HL113" s="117">
        <f>Apoio!B268</f>
        <v>19</v>
      </c>
      <c r="HM113" s="178" t="e">
        <f>Apoio!C268</f>
        <v>#N/A</v>
      </c>
      <c r="HN113" s="179" t="e">
        <f>Apoio!D268</f>
        <v>#N/A</v>
      </c>
      <c r="HO113" s="180" t="e">
        <f ca="1">Apoio!E268</f>
        <v>#N/A</v>
      </c>
      <c r="IC113" s="110"/>
      <c r="ID113" s="110"/>
      <c r="IE113" s="110"/>
      <c r="IP113" s="111">
        <v>29</v>
      </c>
      <c r="IR113" s="698">
        <v>1956</v>
      </c>
    </row>
    <row r="114" spans="2:252" ht="15.75" customHeight="1" x14ac:dyDescent="0.2">
      <c r="C114" s="752"/>
      <c r="D114" s="752"/>
      <c r="F114" s="752"/>
      <c r="G114" s="752"/>
      <c r="H114" s="752"/>
      <c r="I114" s="752"/>
      <c r="J114" s="752"/>
      <c r="K114" s="752"/>
      <c r="L114" s="752"/>
      <c r="M114" s="752"/>
      <c r="N114" s="752"/>
      <c r="O114" s="752"/>
      <c r="P114" s="752"/>
      <c r="Q114" s="752"/>
      <c r="R114" s="972"/>
      <c r="S114" s="988"/>
      <c r="T114" s="988"/>
      <c r="U114" s="988"/>
      <c r="BC114" s="916"/>
      <c r="BD114" s="916"/>
      <c r="BE114" s="916"/>
      <c r="BF114" s="747"/>
      <c r="BG114" s="929"/>
      <c r="BH114" s="748"/>
      <c r="BI114" s="910"/>
      <c r="BJ114" s="911"/>
      <c r="BK114" s="912"/>
      <c r="HL114" s="117">
        <f>Apoio!B269</f>
        <v>20</v>
      </c>
      <c r="HM114" s="178" t="e">
        <f>Apoio!C269</f>
        <v>#N/A</v>
      </c>
      <c r="HN114" s="179" t="e">
        <f>Apoio!D269</f>
        <v>#N/A</v>
      </c>
      <c r="HO114" s="180" t="e">
        <f ca="1">Apoio!E269</f>
        <v>#N/A</v>
      </c>
      <c r="IC114" s="110"/>
      <c r="ID114" s="110"/>
      <c r="IE114" s="110"/>
      <c r="IP114" s="111">
        <v>30</v>
      </c>
      <c r="IR114" s="698">
        <v>1957</v>
      </c>
    </row>
    <row r="115" spans="2:252" ht="3" customHeight="1" x14ac:dyDescent="0.2">
      <c r="E115" s="189"/>
      <c r="F115" s="189"/>
      <c r="G115" s="189"/>
      <c r="H115" s="190"/>
      <c r="I115" s="191"/>
      <c r="J115" s="191"/>
      <c r="K115" s="192"/>
      <c r="L115" s="192"/>
      <c r="M115" s="191"/>
      <c r="N115" s="191"/>
      <c r="O115" s="191"/>
      <c r="P115" s="190"/>
      <c r="Q115" s="190"/>
      <c r="R115" s="190"/>
      <c r="HL115" s="117">
        <f>Apoio!B270</f>
        <v>21</v>
      </c>
      <c r="HM115" s="178" t="e">
        <f>Apoio!C270</f>
        <v>#N/A</v>
      </c>
      <c r="HN115" s="179" t="e">
        <f>Apoio!D270</f>
        <v>#N/A</v>
      </c>
      <c r="HO115" s="180" t="e">
        <f ca="1">Apoio!E270</f>
        <v>#N/A</v>
      </c>
      <c r="IP115" s="111">
        <v>31</v>
      </c>
      <c r="IR115" s="698">
        <v>1958</v>
      </c>
    </row>
    <row r="116" spans="2:252" ht="5.25" customHeight="1" x14ac:dyDescent="0.2">
      <c r="E116" s="193"/>
      <c r="F116" s="193"/>
      <c r="G116" s="193"/>
      <c r="I116" s="194"/>
      <c r="J116" s="194"/>
      <c r="M116" s="194"/>
      <c r="N116" s="194"/>
      <c r="O116" s="194"/>
      <c r="HL116" s="117">
        <f>Apoio!B271</f>
        <v>22</v>
      </c>
      <c r="HM116" s="178" t="e">
        <f>Apoio!C271</f>
        <v>#N/A</v>
      </c>
      <c r="HN116" s="179" t="e">
        <f>Apoio!D271</f>
        <v>#N/A</v>
      </c>
      <c r="HO116" s="180" t="e">
        <f ca="1">Apoio!E271</f>
        <v>#N/A</v>
      </c>
      <c r="IP116" s="111"/>
      <c r="IR116" s="698">
        <v>1959</v>
      </c>
    </row>
    <row r="117" spans="2:252" ht="9.75" customHeight="1" x14ac:dyDescent="0.2">
      <c r="HL117" s="117">
        <f>Apoio!B272</f>
        <v>23</v>
      </c>
      <c r="HM117" s="178" t="e">
        <f>Apoio!C272</f>
        <v>#N/A</v>
      </c>
      <c r="HN117" s="179" t="e">
        <f>Apoio!D272</f>
        <v>#N/A</v>
      </c>
      <c r="HO117" s="180" t="e">
        <f ca="1">Apoio!E272</f>
        <v>#N/A</v>
      </c>
      <c r="IP117" s="111"/>
      <c r="IR117" s="698">
        <v>1960</v>
      </c>
    </row>
    <row r="118" spans="2:252" ht="16.5" customHeight="1" x14ac:dyDescent="0.2">
      <c r="B118" s="817" t="s">
        <v>239</v>
      </c>
      <c r="C118" s="817"/>
      <c r="D118" s="817"/>
      <c r="E118" s="817"/>
      <c r="F118" s="817"/>
      <c r="G118" s="817"/>
      <c r="H118" s="817"/>
      <c r="I118" s="817"/>
      <c r="J118" s="817"/>
      <c r="K118" s="817"/>
      <c r="L118" s="817"/>
      <c r="M118" s="817"/>
      <c r="N118" s="817"/>
      <c r="O118" s="817"/>
      <c r="P118" s="817"/>
      <c r="Q118" s="817"/>
      <c r="R118" s="817"/>
      <c r="S118" s="817"/>
      <c r="T118" s="817"/>
      <c r="U118" s="817"/>
      <c r="V118" s="817"/>
      <c r="W118" s="817"/>
      <c r="HL118" s="117">
        <f>Apoio!B273</f>
        <v>24</v>
      </c>
      <c r="HM118" s="178" t="e">
        <f>Apoio!C273</f>
        <v>#N/A</v>
      </c>
      <c r="HN118" s="179" t="e">
        <f>Apoio!D273</f>
        <v>#N/A</v>
      </c>
      <c r="HO118" s="180" t="e">
        <f ca="1">Apoio!E273</f>
        <v>#N/A</v>
      </c>
      <c r="IP118" s="111"/>
      <c r="IR118" s="698">
        <v>1961</v>
      </c>
    </row>
    <row r="119" spans="2:252" ht="9" customHeight="1" x14ac:dyDescent="0.2">
      <c r="B119" s="817"/>
      <c r="C119" s="817"/>
      <c r="D119" s="817"/>
      <c r="E119" s="817"/>
      <c r="F119" s="817"/>
      <c r="G119" s="817"/>
      <c r="H119" s="817"/>
      <c r="I119" s="817"/>
      <c r="J119" s="817"/>
      <c r="K119" s="817"/>
      <c r="L119" s="817"/>
      <c r="M119" s="817"/>
      <c r="N119" s="817"/>
      <c r="O119" s="817"/>
      <c r="P119" s="817"/>
      <c r="Q119" s="817"/>
      <c r="R119" s="817"/>
      <c r="S119" s="817"/>
      <c r="T119" s="817"/>
      <c r="U119" s="817"/>
      <c r="V119" s="817"/>
      <c r="W119" s="817"/>
      <c r="HL119" s="117">
        <f>Apoio!B274</f>
        <v>25</v>
      </c>
      <c r="HM119" s="178" t="e">
        <f>Apoio!C274</f>
        <v>#N/A</v>
      </c>
      <c r="HN119" s="179" t="e">
        <f>Apoio!D274</f>
        <v>#N/A</v>
      </c>
      <c r="HO119" s="180" t="e">
        <f ca="1">Apoio!E274</f>
        <v>#N/A</v>
      </c>
      <c r="IP119" s="111"/>
      <c r="IR119" s="698">
        <v>1962</v>
      </c>
    </row>
    <row r="120" spans="2:252" ht="12.75" customHeight="1" x14ac:dyDescent="0.2">
      <c r="B120" s="817"/>
      <c r="C120" s="817"/>
      <c r="D120" s="817"/>
      <c r="E120" s="817"/>
      <c r="F120" s="817"/>
      <c r="G120" s="817"/>
      <c r="H120" s="817"/>
      <c r="I120" s="817"/>
      <c r="J120" s="817"/>
      <c r="K120" s="817"/>
      <c r="L120" s="817"/>
      <c r="M120" s="817"/>
      <c r="N120" s="817"/>
      <c r="O120" s="817"/>
      <c r="P120" s="817"/>
      <c r="Q120" s="817"/>
      <c r="R120" s="817"/>
      <c r="S120" s="817"/>
      <c r="T120" s="817"/>
      <c r="U120" s="817"/>
      <c r="V120" s="817"/>
      <c r="W120" s="817"/>
      <c r="HL120" s="117">
        <f>Apoio!B275</f>
        <v>26</v>
      </c>
      <c r="HM120" s="178" t="e">
        <f>Apoio!C275</f>
        <v>#N/A</v>
      </c>
      <c r="HN120" s="179" t="e">
        <f>Apoio!D275</f>
        <v>#N/A</v>
      </c>
      <c r="HO120" s="180" t="e">
        <f ca="1">Apoio!E275</f>
        <v>#N/A</v>
      </c>
      <c r="IP120" s="111"/>
      <c r="IR120" s="698">
        <v>1963</v>
      </c>
    </row>
    <row r="121" spans="2:252" ht="12.75" customHeight="1" x14ac:dyDescent="0.2">
      <c r="IO121" s="89"/>
      <c r="IP121" s="111"/>
      <c r="IR121" s="698">
        <v>1964</v>
      </c>
    </row>
    <row r="122" spans="2:252" ht="12.75" customHeight="1" x14ac:dyDescent="0.2">
      <c r="AG122" s="983" t="s">
        <v>234</v>
      </c>
      <c r="AH122" s="984"/>
      <c r="AI122" s="984"/>
      <c r="AJ122" s="985"/>
      <c r="AL122" s="987" t="s">
        <v>231</v>
      </c>
      <c r="AM122" s="987"/>
      <c r="AN122" s="987"/>
      <c r="AO122" s="987"/>
      <c r="AP122" s="987"/>
      <c r="AQ122" s="987" t="s">
        <v>232</v>
      </c>
      <c r="AR122" s="987"/>
      <c r="AS122" s="987"/>
      <c r="HL122" s="117">
        <f>Apoio!B276</f>
        <v>27</v>
      </c>
      <c r="HM122" s="178">
        <f>Apoio!C276</f>
        <v>216040</v>
      </c>
      <c r="HN122" s="179" t="str">
        <f>Apoio!D276</f>
        <v xml:space="preserve"> R$      225.000,00 </v>
      </c>
      <c r="HO122" s="180" t="e">
        <f ca="1">Apoio!E276</f>
        <v>#N/A</v>
      </c>
      <c r="IP122" s="111"/>
      <c r="IR122" s="698">
        <v>1965</v>
      </c>
    </row>
    <row r="123" spans="2:252" ht="12.75" customHeight="1" x14ac:dyDescent="0.2">
      <c r="F123" s="734" t="s">
        <v>236</v>
      </c>
      <c r="G123" s="734"/>
      <c r="H123" s="734"/>
      <c r="I123" s="734"/>
      <c r="J123" s="734"/>
      <c r="K123" s="734"/>
      <c r="L123" s="734" t="s">
        <v>233</v>
      </c>
      <c r="M123" s="734"/>
      <c r="N123" s="734"/>
      <c r="O123" s="734"/>
      <c r="P123" s="734"/>
      <c r="AG123" s="983"/>
      <c r="AH123" s="984"/>
      <c r="AI123" s="984"/>
      <c r="AJ123" s="985"/>
      <c r="AL123" s="987"/>
      <c r="AM123" s="987"/>
      <c r="AN123" s="987"/>
      <c r="AO123" s="987"/>
      <c r="AP123" s="987"/>
      <c r="AQ123" s="987"/>
      <c r="AR123" s="987"/>
      <c r="AS123" s="987"/>
      <c r="HL123" s="117">
        <f>Apoio!B277</f>
        <v>28</v>
      </c>
      <c r="HM123" s="178">
        <f>Apoio!C277</f>
        <v>215920</v>
      </c>
      <c r="HN123" s="179" t="str">
        <f>Apoio!D277</f>
        <v xml:space="preserve"> R$      225.000,00 </v>
      </c>
      <c r="HO123" s="180" t="e">
        <f ca="1">Apoio!E277</f>
        <v>#N/A</v>
      </c>
      <c r="IP123" s="111"/>
      <c r="IR123" s="698">
        <v>1966</v>
      </c>
    </row>
    <row r="124" spans="2:252" ht="22.5" customHeight="1" x14ac:dyDescent="0.2">
      <c r="F124" s="734"/>
      <c r="G124" s="734"/>
      <c r="H124" s="734"/>
      <c r="I124" s="734"/>
      <c r="J124" s="734"/>
      <c r="K124" s="734"/>
      <c r="L124" s="734"/>
      <c r="M124" s="734"/>
      <c r="N124" s="734"/>
      <c r="O124" s="734"/>
      <c r="P124" s="734"/>
      <c r="AG124" s="983"/>
      <c r="AH124" s="984"/>
      <c r="AI124" s="984"/>
      <c r="AJ124" s="985"/>
      <c r="AL124" s="987"/>
      <c r="AM124" s="987"/>
      <c r="AN124" s="987"/>
      <c r="AO124" s="987"/>
      <c r="AP124" s="987"/>
      <c r="AQ124" s="987"/>
      <c r="AR124" s="987"/>
      <c r="AS124" s="987"/>
      <c r="HL124" s="117">
        <f>Apoio!B278</f>
        <v>29</v>
      </c>
      <c r="HM124" s="178">
        <f>Apoio!C278</f>
        <v>215940</v>
      </c>
      <c r="HN124" s="179" t="str">
        <f>Apoio!D278</f>
        <v xml:space="preserve"> R$      225.000,00 </v>
      </c>
      <c r="HO124" s="180" t="e">
        <f ca="1">Apoio!E278</f>
        <v>#N/A</v>
      </c>
      <c r="IP124" s="111"/>
      <c r="IR124" s="698">
        <v>1967</v>
      </c>
    </row>
    <row r="125" spans="2:252" ht="22.5" customHeight="1" x14ac:dyDescent="0.2">
      <c r="F125" s="734"/>
      <c r="G125" s="734"/>
      <c r="H125" s="734"/>
      <c r="I125" s="734"/>
      <c r="J125" s="734"/>
      <c r="K125" s="734"/>
      <c r="L125" s="734"/>
      <c r="M125" s="734"/>
      <c r="N125" s="734"/>
      <c r="O125" s="734"/>
      <c r="P125" s="734"/>
      <c r="AG125" s="977" t="e">
        <f ca="1">SUM(J151:L190)/(Apoio!F248-AN142)</f>
        <v>#N/A</v>
      </c>
      <c r="AH125" s="978"/>
      <c r="AI125" s="978"/>
      <c r="AJ125" s="979"/>
      <c r="AL125" s="986" t="e">
        <f ca="1">SUM(S151:T190)/(AN112-E63)</f>
        <v>#N/A</v>
      </c>
      <c r="AM125" s="986"/>
      <c r="AN125" s="986"/>
      <c r="AO125" s="986"/>
      <c r="AP125" s="986"/>
      <c r="AQ125" s="986" t="e">
        <f ca="1">LARGE(S151:T190,1)</f>
        <v>#N/A</v>
      </c>
      <c r="AR125" s="986"/>
      <c r="AS125" s="986"/>
      <c r="HL125" s="117">
        <f>Apoio!B279</f>
        <v>30</v>
      </c>
      <c r="HM125" s="178">
        <f>Apoio!C279</f>
        <v>216040</v>
      </c>
      <c r="HN125" s="179" t="str">
        <f>Apoio!D279</f>
        <v xml:space="preserve"> R$      225.000,00 </v>
      </c>
      <c r="HO125" s="180" t="e">
        <f ca="1">Apoio!E279</f>
        <v>#N/A</v>
      </c>
      <c r="IP125" s="111"/>
      <c r="IR125" s="698">
        <v>1968</v>
      </c>
    </row>
    <row r="126" spans="2:252" ht="12.75" customHeight="1" x14ac:dyDescent="0.2">
      <c r="F126" s="976">
        <f ca="1">L126*15%</f>
        <v>152.85100368047682</v>
      </c>
      <c r="G126" s="976"/>
      <c r="H126" s="976"/>
      <c r="I126" s="976"/>
      <c r="J126" s="976"/>
      <c r="K126" s="976"/>
      <c r="L126" s="752">
        <f ca="1">F112*0.95*(F26/12)</f>
        <v>1019.0066912031789</v>
      </c>
      <c r="M126" s="752"/>
      <c r="N126" s="752"/>
      <c r="O126" s="752"/>
      <c r="P126" s="752"/>
      <c r="AG126" s="977"/>
      <c r="AH126" s="978"/>
      <c r="AI126" s="978"/>
      <c r="AJ126" s="979"/>
      <c r="AL126" s="986"/>
      <c r="AM126" s="986"/>
      <c r="AN126" s="986"/>
      <c r="AO126" s="986"/>
      <c r="AP126" s="986"/>
      <c r="AQ126" s="986"/>
      <c r="AR126" s="986"/>
      <c r="AS126" s="986"/>
      <c r="HL126" s="117">
        <f>Apoio!B280</f>
        <v>31</v>
      </c>
      <c r="HM126" s="178">
        <f>Apoio!C280</f>
        <v>246040</v>
      </c>
      <c r="HN126" s="179" t="str">
        <f>Apoio!D280</f>
        <v xml:space="preserve"> R$      225.000,00 </v>
      </c>
      <c r="HO126" s="180" t="e">
        <f ca="1">Apoio!E280</f>
        <v>#N/A</v>
      </c>
      <c r="IP126" s="111"/>
      <c r="IR126" s="698">
        <v>1969</v>
      </c>
    </row>
    <row r="127" spans="2:252" ht="43.5" customHeight="1" x14ac:dyDescent="0.2">
      <c r="F127" s="976"/>
      <c r="G127" s="976"/>
      <c r="H127" s="976"/>
      <c r="I127" s="976"/>
      <c r="J127" s="976"/>
      <c r="K127" s="976"/>
      <c r="L127" s="752"/>
      <c r="M127" s="752"/>
      <c r="N127" s="752"/>
      <c r="O127" s="752"/>
      <c r="P127" s="752"/>
      <c r="HL127" s="117">
        <f>Apoio!B281</f>
        <v>32</v>
      </c>
      <c r="HM127" s="178">
        <f>Apoio!C281</f>
        <v>245940</v>
      </c>
      <c r="HN127" s="179" t="str">
        <f>Apoio!D281</f>
        <v xml:space="preserve"> R$      225.000,00 </v>
      </c>
      <c r="HO127" s="180" t="e">
        <f ca="1">Apoio!E281</f>
        <v>#N/A</v>
      </c>
      <c r="IR127" s="698">
        <v>1970</v>
      </c>
    </row>
    <row r="128" spans="2:252" ht="12.75" customHeight="1" x14ac:dyDescent="0.2">
      <c r="HL128" s="117">
        <f>Apoio!B282</f>
        <v>33</v>
      </c>
      <c r="HM128" s="178">
        <f>Apoio!C282</f>
        <v>245940</v>
      </c>
      <c r="HN128" s="179" t="str">
        <f>Apoio!D282</f>
        <v xml:space="preserve"> R$      225.000,00 </v>
      </c>
      <c r="HO128" s="180" t="e">
        <f ca="1">Apoio!E282</f>
        <v>#N/A</v>
      </c>
      <c r="IR128" s="698">
        <v>1971</v>
      </c>
    </row>
    <row r="129" spans="2:252" ht="4.5" customHeight="1" x14ac:dyDescent="0.2">
      <c r="C129" s="197"/>
      <c r="D129" s="197"/>
      <c r="E129" s="197"/>
      <c r="F129" s="197"/>
      <c r="G129" s="198"/>
      <c r="H129" s="198"/>
      <c r="I129" s="198"/>
      <c r="J129" s="198"/>
      <c r="K129" s="198"/>
      <c r="L129" s="198"/>
      <c r="M129" s="198"/>
      <c r="N129" s="199"/>
      <c r="O129" s="197"/>
      <c r="P129" s="197"/>
      <c r="Q129" s="197"/>
      <c r="R129" s="188"/>
      <c r="S129" s="200"/>
      <c r="T129" s="200"/>
      <c r="U129" s="200"/>
      <c r="HL129" s="117"/>
      <c r="HM129" s="178"/>
      <c r="HN129" s="179"/>
      <c r="HO129" s="180"/>
      <c r="IR129" s="698">
        <v>1972</v>
      </c>
    </row>
    <row r="130" spans="2:252" ht="12.75" customHeight="1" x14ac:dyDescent="0.2">
      <c r="B130" s="973"/>
      <c r="C130" s="971"/>
      <c r="D130" s="971"/>
      <c r="G130" s="974"/>
      <c r="H130" s="974"/>
      <c r="I130" s="974"/>
      <c r="J130" s="974"/>
      <c r="K130" s="974"/>
      <c r="L130" s="974"/>
      <c r="M130" s="974"/>
      <c r="N130" s="199"/>
      <c r="R130" s="188"/>
      <c r="HL130" s="117">
        <f>Apoio!B283</f>
        <v>34</v>
      </c>
      <c r="HM130" s="178">
        <f>Apoio!C283</f>
        <v>246040</v>
      </c>
      <c r="HN130" s="179" t="str">
        <f>Apoio!D283</f>
        <v xml:space="preserve"> R$      225.000,00 </v>
      </c>
      <c r="HO130" s="180" t="e">
        <f ca="1">Apoio!E283</f>
        <v>#N/A</v>
      </c>
      <c r="IR130" s="698">
        <v>1973</v>
      </c>
    </row>
    <row r="131" spans="2:252" ht="3" customHeight="1" x14ac:dyDescent="0.2">
      <c r="B131" s="973"/>
      <c r="C131" s="971"/>
      <c r="D131" s="971"/>
      <c r="G131" s="974"/>
      <c r="H131" s="974"/>
      <c r="I131" s="974"/>
      <c r="J131" s="974"/>
      <c r="K131" s="974"/>
      <c r="L131" s="974"/>
      <c r="M131" s="974"/>
      <c r="N131" s="199"/>
      <c r="R131" s="188"/>
      <c r="HL131" s="117">
        <f>Apoio!B284</f>
        <v>35</v>
      </c>
      <c r="HM131" s="178">
        <f>Apoio!C284</f>
        <v>246040</v>
      </c>
      <c r="HN131" s="179" t="str">
        <f>Apoio!D284</f>
        <v xml:space="preserve"> R$      225.000,00 </v>
      </c>
      <c r="HO131" s="180" t="e">
        <f ca="1">Apoio!E284</f>
        <v>#N/A</v>
      </c>
      <c r="IR131" s="698">
        <v>1974</v>
      </c>
    </row>
    <row r="132" spans="2:252" ht="6" customHeight="1" x14ac:dyDescent="0.2">
      <c r="HL132" s="117">
        <f>Apoio!B285</f>
        <v>36</v>
      </c>
      <c r="HM132" s="178">
        <f>Apoio!C285</f>
        <v>245940</v>
      </c>
      <c r="HN132" s="179" t="str">
        <f>Apoio!D285</f>
        <v xml:space="preserve"> R$      225.000,00 </v>
      </c>
      <c r="HO132" s="180" t="e">
        <f ca="1">Apoio!E285</f>
        <v>#N/A</v>
      </c>
      <c r="IR132" s="698">
        <v>1975</v>
      </c>
    </row>
    <row r="133" spans="2:252" ht="9" customHeight="1" x14ac:dyDescent="0.2">
      <c r="HL133" s="117">
        <f>Apoio!B286</f>
        <v>37</v>
      </c>
      <c r="HM133" s="178">
        <f>Apoio!C286</f>
        <v>245940</v>
      </c>
      <c r="HN133" s="179" t="str">
        <f>Apoio!D286</f>
        <v xml:space="preserve"> R$      225.000,00 </v>
      </c>
      <c r="HO133" s="180" t="e">
        <f ca="1">Apoio!E286</f>
        <v>#N/A</v>
      </c>
      <c r="IR133" s="698">
        <v>1976</v>
      </c>
    </row>
    <row r="134" spans="2:252" ht="12.75" customHeight="1" x14ac:dyDescent="0.2">
      <c r="HL134" s="117">
        <f>Apoio!B287</f>
        <v>38</v>
      </c>
      <c r="HM134" s="178">
        <f>Apoio!C287</f>
        <v>246040</v>
      </c>
      <c r="HN134" s="179" t="str">
        <f>Apoio!D287</f>
        <v xml:space="preserve"> R$      225.000,00 </v>
      </c>
      <c r="HO134" s="180" t="e">
        <f ca="1">Apoio!E287</f>
        <v>#N/A</v>
      </c>
      <c r="IR134" s="698">
        <v>1977</v>
      </c>
    </row>
    <row r="135" spans="2:252" ht="12.75" customHeight="1" x14ac:dyDescent="0.2">
      <c r="HL135" s="117">
        <f>Apoio!B288</f>
        <v>39</v>
      </c>
      <c r="HM135" s="178">
        <f>Apoio!C288</f>
        <v>246030</v>
      </c>
      <c r="HN135" s="179" t="str">
        <f>Apoio!D288</f>
        <v xml:space="preserve"> R$      225.000,00 </v>
      </c>
      <c r="HO135" s="180" t="e">
        <f ca="1">Apoio!E288</f>
        <v>#N/A</v>
      </c>
      <c r="IR135" s="698">
        <v>1978</v>
      </c>
    </row>
    <row r="136" spans="2:252" ht="12.75" customHeight="1" x14ac:dyDescent="0.2">
      <c r="C136" s="975" t="s">
        <v>286</v>
      </c>
      <c r="D136" s="975"/>
      <c r="E136" s="975"/>
      <c r="F136" s="975"/>
      <c r="G136" s="975"/>
      <c r="H136" s="975"/>
      <c r="I136" s="975"/>
      <c r="J136" s="975"/>
      <c r="K136" s="975"/>
      <c r="L136" s="975"/>
      <c r="M136" s="975"/>
      <c r="N136" s="975"/>
      <c r="O136" s="975"/>
      <c r="P136" s="975"/>
      <c r="Q136" s="975"/>
      <c r="R136" s="975"/>
      <c r="S136" s="975"/>
      <c r="T136" s="975"/>
      <c r="U136" s="975"/>
      <c r="V136" s="975"/>
      <c r="W136" s="975"/>
      <c r="X136" s="975"/>
      <c r="HL136" s="117">
        <f>Apoio!B289</f>
        <v>40</v>
      </c>
      <c r="HM136" s="178">
        <f>Apoio!C289</f>
        <v>245940</v>
      </c>
      <c r="HN136" s="179" t="str">
        <f>Apoio!D289</f>
        <v xml:space="preserve"> R$      225.000,00 </v>
      </c>
      <c r="HO136" s="180" t="e">
        <f ca="1">Apoio!E289</f>
        <v>#N/A</v>
      </c>
      <c r="IR136" s="698">
        <v>1979</v>
      </c>
    </row>
    <row r="137" spans="2:252" ht="9.75" customHeight="1" x14ac:dyDescent="0.2">
      <c r="C137" s="975"/>
      <c r="D137" s="975"/>
      <c r="E137" s="975"/>
      <c r="F137" s="975"/>
      <c r="G137" s="975"/>
      <c r="H137" s="975"/>
      <c r="I137" s="975"/>
      <c r="J137" s="975"/>
      <c r="K137" s="975"/>
      <c r="L137" s="975"/>
      <c r="M137" s="975"/>
      <c r="N137" s="975"/>
      <c r="O137" s="975"/>
      <c r="P137" s="975"/>
      <c r="Q137" s="975"/>
      <c r="R137" s="975"/>
      <c r="S137" s="975"/>
      <c r="T137" s="975"/>
      <c r="U137" s="975"/>
      <c r="V137" s="975"/>
      <c r="W137" s="975"/>
      <c r="X137" s="975"/>
      <c r="IR137" s="698">
        <v>1980</v>
      </c>
    </row>
    <row r="138" spans="2:252" ht="23.25" customHeight="1" x14ac:dyDescent="0.2">
      <c r="C138" s="975"/>
      <c r="D138" s="975"/>
      <c r="E138" s="975"/>
      <c r="F138" s="975"/>
      <c r="G138" s="975"/>
      <c r="H138" s="975"/>
      <c r="I138" s="975"/>
      <c r="J138" s="975"/>
      <c r="K138" s="975"/>
      <c r="L138" s="975"/>
      <c r="M138" s="975"/>
      <c r="N138" s="975"/>
      <c r="O138" s="975"/>
      <c r="P138" s="975"/>
      <c r="Q138" s="975"/>
      <c r="R138" s="975"/>
      <c r="S138" s="975"/>
      <c r="T138" s="975"/>
      <c r="U138" s="975"/>
      <c r="V138" s="975"/>
      <c r="W138" s="975"/>
      <c r="X138" s="975"/>
      <c r="IR138" s="698">
        <v>1981</v>
      </c>
    </row>
    <row r="139" spans="2:252" ht="12.75" customHeight="1" x14ac:dyDescent="0.2">
      <c r="AN139" s="983" t="s">
        <v>205</v>
      </c>
      <c r="AO139" s="984"/>
      <c r="AP139" s="985"/>
      <c r="IR139" s="698">
        <v>1982</v>
      </c>
    </row>
    <row r="140" spans="2:252" ht="19.5" customHeight="1" x14ac:dyDescent="0.2">
      <c r="AN140" s="983"/>
      <c r="AO140" s="984"/>
      <c r="AP140" s="985"/>
      <c r="IR140" s="698">
        <v>1983</v>
      </c>
    </row>
    <row r="141" spans="2:252" ht="19.5" hidden="1" customHeight="1" x14ac:dyDescent="0.2"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AN141" s="983"/>
      <c r="AO141" s="984"/>
      <c r="AP141" s="985"/>
      <c r="IR141" s="698">
        <v>1984</v>
      </c>
    </row>
    <row r="142" spans="2:252" ht="20.25" hidden="1" customHeight="1" x14ac:dyDescent="0.2"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AN142" s="989">
        <f>'Premissas e Calculos'!J30</f>
        <v>4</v>
      </c>
      <c r="AO142" s="991">
        <f ca="1">DATE(YEAR(I12),MONTH(I12)+AN142,DAY(I12))</f>
        <v>43931</v>
      </c>
      <c r="AP142" s="992"/>
      <c r="IR142" s="698">
        <v>1985</v>
      </c>
    </row>
    <row r="143" spans="2:252" ht="20.25" hidden="1" customHeight="1" x14ac:dyDescent="0.2"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AN143" s="990"/>
      <c r="AO143" s="993"/>
      <c r="AP143" s="994"/>
      <c r="IR143" s="698">
        <v>1986</v>
      </c>
    </row>
    <row r="144" spans="2:252" ht="20.25" hidden="1" x14ac:dyDescent="0.2">
      <c r="F144" s="191"/>
      <c r="G144" s="191"/>
      <c r="H144" s="192"/>
      <c r="I144" s="191"/>
      <c r="J144" s="191"/>
      <c r="K144" s="191"/>
      <c r="L144" s="192"/>
      <c r="N144" s="191"/>
      <c r="O144" s="191"/>
      <c r="T144" s="201"/>
      <c r="IR144" s="698">
        <v>1987</v>
      </c>
    </row>
    <row r="145" spans="6:252" ht="19.5" hidden="1" customHeight="1" x14ac:dyDescent="0.2">
      <c r="M145" s="191"/>
      <c r="N145" s="191"/>
      <c r="O145" s="191"/>
      <c r="T145" s="201"/>
      <c r="IR145" s="698">
        <v>1988</v>
      </c>
    </row>
    <row r="146" spans="6:252" ht="24.95" hidden="1" customHeight="1" x14ac:dyDescent="0.2">
      <c r="Q146" s="758"/>
      <c r="R146" s="758"/>
      <c r="IR146" s="698">
        <v>1989</v>
      </c>
    </row>
    <row r="147" spans="6:252" hidden="1" x14ac:dyDescent="0.2">
      <c r="Q147" s="758"/>
      <c r="R147" s="758"/>
      <c r="IR147" s="698">
        <v>1990</v>
      </c>
    </row>
    <row r="148" spans="6:252" ht="12.75" hidden="1" customHeight="1" x14ac:dyDescent="0.2">
      <c r="F148" s="744" t="s">
        <v>174</v>
      </c>
      <c r="G148" s="744" t="s">
        <v>62</v>
      </c>
      <c r="H148" s="744"/>
      <c r="I148" s="744"/>
      <c r="J148" s="744" t="s">
        <v>176</v>
      </c>
      <c r="K148" s="744"/>
      <c r="L148" s="744"/>
      <c r="M148" s="745" t="s">
        <v>175</v>
      </c>
      <c r="N148" s="746"/>
      <c r="O148" s="744" t="s">
        <v>20</v>
      </c>
      <c r="P148" s="744"/>
      <c r="Q148" s="110"/>
      <c r="R148" s="110"/>
      <c r="S148" s="745" t="s">
        <v>235</v>
      </c>
      <c r="T148" s="746"/>
      <c r="AB148" s="107" t="s">
        <v>211</v>
      </c>
      <c r="AC148" s="107" t="s">
        <v>212</v>
      </c>
      <c r="AD148" s="107" t="s">
        <v>213</v>
      </c>
      <c r="AE148" s="107" t="s">
        <v>214</v>
      </c>
      <c r="AF148" s="107" t="s">
        <v>215</v>
      </c>
      <c r="AG148" s="107" t="s">
        <v>216</v>
      </c>
      <c r="AH148" s="107" t="s">
        <v>217</v>
      </c>
      <c r="AI148" s="107" t="s">
        <v>218</v>
      </c>
      <c r="AJ148" s="202" t="s">
        <v>219</v>
      </c>
      <c r="AK148" s="202" t="s">
        <v>220</v>
      </c>
      <c r="AL148" s="202" t="s">
        <v>221</v>
      </c>
      <c r="AM148" s="202"/>
      <c r="IR148" s="698">
        <v>1991</v>
      </c>
    </row>
    <row r="149" spans="6:252" ht="21" hidden="1" customHeight="1" x14ac:dyDescent="0.2">
      <c r="F149" s="744"/>
      <c r="G149" s="744"/>
      <c r="H149" s="744"/>
      <c r="I149" s="744"/>
      <c r="J149" s="744"/>
      <c r="K149" s="744"/>
      <c r="L149" s="744"/>
      <c r="M149" s="747"/>
      <c r="N149" s="748"/>
      <c r="O149" s="744"/>
      <c r="P149" s="744"/>
      <c r="Q149" s="110"/>
      <c r="R149" s="110"/>
      <c r="S149" s="747"/>
      <c r="T149" s="748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  <c r="AM149" s="107"/>
      <c r="IR149" s="698">
        <v>1992</v>
      </c>
    </row>
    <row r="150" spans="6:252" hidden="1" x14ac:dyDescent="0.2">
      <c r="Q150" s="110"/>
      <c r="R150" s="110"/>
      <c r="AB150" s="107" t="e">
        <f>#REF!</f>
        <v>#REF!</v>
      </c>
      <c r="AC150" s="107" t="e">
        <f>IF(AND(AB150&gt;=#REF!,AB150&lt;(#REF!+#REF!*$A$73)),#REF!,0)</f>
        <v>#REF!</v>
      </c>
      <c r="AD150" s="107" t="e">
        <f>#REF!</f>
        <v>#REF!</v>
      </c>
      <c r="AE150" s="107" t="e">
        <f>IF(AND(AD150&gt;=#REF!,AD150&lt;(#REF!+#REF!*$A$79)),#REF!,0)</f>
        <v>#REF!</v>
      </c>
      <c r="AF150" s="107">
        <f>K81</f>
        <v>9</v>
      </c>
      <c r="AG150" s="107">
        <f>IF(AND(AF150&gt;=$K$81,AF150&lt;($K$81+$E$81*$A$81)),$G$81,0)</f>
        <v>0</v>
      </c>
      <c r="AH150" s="107">
        <f>K83</f>
        <v>5</v>
      </c>
      <c r="AI150" s="107">
        <f>IF(AND(AH150&gt;=$K$83,AH150&lt;($K$83+$E$83*$A$83)),$G$83,0)</f>
        <v>0</v>
      </c>
      <c r="AJ150" s="107">
        <v>1</v>
      </c>
      <c r="AK150" s="107" t="e">
        <f>IF(AND(AJ150&gt;=$K$63,AJ150&lt;($K$63+$E$63*$A$63)),$G$63,0)</f>
        <v>#N/A</v>
      </c>
      <c r="AL150" s="107">
        <v>1</v>
      </c>
      <c r="AM150" s="107">
        <f t="shared" ref="AM150:AM190" si="0">IF(AL150=$K$85,$G$85,0)</f>
        <v>0</v>
      </c>
      <c r="IR150" s="698">
        <v>1993</v>
      </c>
    </row>
    <row r="151" spans="6:252" ht="15" hidden="1" x14ac:dyDescent="0.2">
      <c r="F151" s="203">
        <v>1</v>
      </c>
      <c r="G151" s="726">
        <f ca="1">I12</f>
        <v>43809</v>
      </c>
      <c r="H151" s="727"/>
      <c r="I151" s="728"/>
      <c r="J151" s="721">
        <f>IF(F151&lt;=$AN$142,0,Apoio!E250)</f>
        <v>0</v>
      </c>
      <c r="K151" s="723"/>
      <c r="L151" s="722"/>
      <c r="M151" s="721" t="e">
        <f>VLOOKUP(F151,$AD$150:$AE$331,2,FALSE)+VLOOKUP(F151,$AF$150:$AG$364,2,FALSE)+VLOOKUP(F151,$AH$150:$AI$364,2,FALSE)+VLOOKUP(F151,$AJ$150:$AK$364,2,FALSE)+VLOOKUP(F151,$AL$150:$AM$364,2,FALSE)+VLOOKUP(F151,$AB$150:$AC$364,2,FALSE)</f>
        <v>#N/A</v>
      </c>
      <c r="N151" s="722"/>
      <c r="O151" s="721" t="e">
        <f>M151+J151</f>
        <v>#N/A</v>
      </c>
      <c r="P151" s="722"/>
      <c r="Q151" s="724"/>
      <c r="R151" s="725"/>
      <c r="S151" s="721">
        <f t="shared" ref="S151:S190" si="1">VLOOKUP(F151,$AD$150:$AE$331,2,FALSE)+VLOOKUP(F151,$AF$150:$AG$364,2,FALSE)+VLOOKUP(F151,$AH$150:$AI$364,2,FALSE)+VLOOKUP(F151,$AB$150:$AC$364,2,FALSE)+IF(F151&lt;=$AN$112,J151)</f>
        <v>0</v>
      </c>
      <c r="T151" s="722"/>
      <c r="AB151" s="107" t="e">
        <f>AB150+$A$73</f>
        <v>#REF!</v>
      </c>
      <c r="AC151" s="107" t="e">
        <f>IF(AND(AB151&gt;=#REF!,AB151&lt;(#REF!+#REF!*$A$73)),#REF!,0)</f>
        <v>#REF!</v>
      </c>
      <c r="AD151" s="107" t="e">
        <f>AD150+$A$79</f>
        <v>#REF!</v>
      </c>
      <c r="AE151" s="107" t="e">
        <f>IF(AND(AD151&gt;=#REF!,AD151&lt;(#REF!+#REF!*$A$79)),#REF!,0)</f>
        <v>#REF!</v>
      </c>
      <c r="AF151" s="107">
        <f>AF150+$A$81</f>
        <v>21</v>
      </c>
      <c r="AG151" s="107">
        <f t="shared" ref="AG151:AG190" si="2">IF(AND(AF151&gt;=$K$81,AF151&lt;($K$81+$E$81*$A$81)),$G$81,0)</f>
        <v>0</v>
      </c>
      <c r="AH151" s="107">
        <f>AH150+$A$83</f>
        <v>5</v>
      </c>
      <c r="AI151" s="107">
        <f t="shared" ref="AI151:AI190" si="3">IF(AND(AH151&gt;=$K$83,AH151&lt;($K$83+$E$83*$A$83)),$G$83,0)</f>
        <v>0</v>
      </c>
      <c r="AJ151" s="107">
        <v>2</v>
      </c>
      <c r="AK151" s="107" t="e">
        <f t="shared" ref="AK151:AK190" si="4">IF(AND(AJ151&gt;=$K$63,AJ151&lt;($K$63+$E$63*$A$63)),$G$63,0)</f>
        <v>#N/A</v>
      </c>
      <c r="AL151" s="107">
        <v>2</v>
      </c>
      <c r="AM151" s="107">
        <f t="shared" si="0"/>
        <v>0</v>
      </c>
      <c r="IR151" s="698">
        <v>1994</v>
      </c>
    </row>
    <row r="152" spans="6:252" ht="15" hidden="1" x14ac:dyDescent="0.2">
      <c r="F152" s="203">
        <v>2</v>
      </c>
      <c r="G152" s="726">
        <f ca="1">DATE(YEAR(G151),MONTH(G151)+1,DAY(G151))</f>
        <v>43840</v>
      </c>
      <c r="H152" s="727"/>
      <c r="I152" s="728"/>
      <c r="J152" s="721">
        <f>IF(F152&lt;=$AN$142,0,Apoio!E251)</f>
        <v>0</v>
      </c>
      <c r="K152" s="723"/>
      <c r="L152" s="722"/>
      <c r="M152" s="721" t="e">
        <f>VLOOKUP(F152,$AD$150:$AE$331,2,FALSE)+VLOOKUP(F152,$AF$150:$AG$364,2,FALSE)+VLOOKUP(F152,$AH$150:$AI$364,2,FALSE)+VLOOKUP(F152,$AJ$150:$AK$364,2,FALSE)+VLOOKUP(F152,$AL$150:$AM$364,2,FALSE)+VLOOKUP(F152,$AB$150:$AC$364,2,FALSE)</f>
        <v>#N/A</v>
      </c>
      <c r="N152" s="722"/>
      <c r="O152" s="721" t="e">
        <f t="shared" ref="O152:O190" si="5">M152+J152</f>
        <v>#N/A</v>
      </c>
      <c r="P152" s="722"/>
      <c r="Q152" s="724"/>
      <c r="R152" s="725"/>
      <c r="S152" s="721">
        <f t="shared" si="1"/>
        <v>0</v>
      </c>
      <c r="T152" s="722"/>
      <c r="AB152" s="107" t="e">
        <f t="shared" ref="AB152:AB184" si="6">AB151+$A$73</f>
        <v>#REF!</v>
      </c>
      <c r="AC152" s="107" t="e">
        <f>IF(AND(AB152&gt;=#REF!,AB152&lt;(#REF!+#REF!*$A$73)),#REF!,0)</f>
        <v>#REF!</v>
      </c>
      <c r="AD152" s="107" t="e">
        <f t="shared" ref="AD152:AD184" si="7">AD151+$A$79</f>
        <v>#REF!</v>
      </c>
      <c r="AE152" s="107" t="e">
        <f>IF(AND(AD152&gt;=#REF!,AD152&lt;(#REF!+#REF!*$A$79)),#REF!,0)</f>
        <v>#REF!</v>
      </c>
      <c r="AF152" s="107">
        <f t="shared" ref="AF152:AF184" si="8">AF151+$A$81</f>
        <v>33</v>
      </c>
      <c r="AG152" s="107">
        <f t="shared" si="2"/>
        <v>0</v>
      </c>
      <c r="AH152" s="107">
        <f t="shared" ref="AH152:AH184" si="9">AH151+$A$83</f>
        <v>5</v>
      </c>
      <c r="AI152" s="107">
        <f t="shared" si="3"/>
        <v>0</v>
      </c>
      <c r="AJ152" s="107">
        <v>3</v>
      </c>
      <c r="AK152" s="107" t="e">
        <f t="shared" si="4"/>
        <v>#N/A</v>
      </c>
      <c r="AL152" s="107">
        <v>3</v>
      </c>
      <c r="AM152" s="107">
        <f t="shared" si="0"/>
        <v>0</v>
      </c>
      <c r="IR152" s="698">
        <v>1995</v>
      </c>
    </row>
    <row r="153" spans="6:252" ht="15" hidden="1" x14ac:dyDescent="0.2">
      <c r="F153" s="203">
        <v>3</v>
      </c>
      <c r="G153" s="726">
        <f t="shared" ref="G153:G190" ca="1" si="10">DATE(YEAR(G152),MONTH(G152)+1,DAY(G152))</f>
        <v>43871</v>
      </c>
      <c r="H153" s="727"/>
      <c r="I153" s="728"/>
      <c r="J153" s="721">
        <f>IF(F153&lt;=$AN$142,0,Apoio!E252)</f>
        <v>0</v>
      </c>
      <c r="K153" s="723"/>
      <c r="L153" s="722"/>
      <c r="M153" s="721" t="e">
        <f t="shared" ref="M153:M190" si="11">VLOOKUP(F153,$AD$150:$AE$331,2,FALSE)+VLOOKUP(F153,$AF$150:$AG$364,2,FALSE)+VLOOKUP(F153,$AH$150:$AI$364,2,FALSE)+VLOOKUP(F153,$AJ$150:$AK$364,2,FALSE)+VLOOKUP(F153,$AL$150:$AM$364,2,FALSE)+VLOOKUP(F153,$AB$150:$AC$364,2,FALSE)</f>
        <v>#N/A</v>
      </c>
      <c r="N153" s="722"/>
      <c r="O153" s="721" t="e">
        <f t="shared" si="5"/>
        <v>#N/A</v>
      </c>
      <c r="P153" s="722"/>
      <c r="Q153" s="724"/>
      <c r="R153" s="725"/>
      <c r="S153" s="721">
        <f t="shared" si="1"/>
        <v>0</v>
      </c>
      <c r="T153" s="722"/>
      <c r="AB153" s="107" t="e">
        <f t="shared" si="6"/>
        <v>#REF!</v>
      </c>
      <c r="AC153" s="107" t="e">
        <f>IF(AND(AB153&gt;=#REF!,AB153&lt;(#REF!+#REF!*$A$73)),#REF!,0)</f>
        <v>#REF!</v>
      </c>
      <c r="AD153" s="107" t="e">
        <f t="shared" si="7"/>
        <v>#REF!</v>
      </c>
      <c r="AE153" s="107" t="e">
        <f>IF(AND(AD153&gt;=#REF!,AD153&lt;(#REF!+#REF!*$A$79)),#REF!,0)</f>
        <v>#REF!</v>
      </c>
      <c r="AF153" s="107">
        <f t="shared" si="8"/>
        <v>45</v>
      </c>
      <c r="AG153" s="107">
        <f t="shared" si="2"/>
        <v>0</v>
      </c>
      <c r="AH153" s="107">
        <f t="shared" si="9"/>
        <v>5</v>
      </c>
      <c r="AI153" s="107">
        <f t="shared" si="3"/>
        <v>0</v>
      </c>
      <c r="AJ153" s="107">
        <v>4</v>
      </c>
      <c r="AK153" s="107" t="e">
        <f t="shared" si="4"/>
        <v>#N/A</v>
      </c>
      <c r="AL153" s="107">
        <v>4</v>
      </c>
      <c r="AM153" s="107">
        <f t="shared" si="0"/>
        <v>0</v>
      </c>
      <c r="IR153" s="698">
        <v>1996</v>
      </c>
    </row>
    <row r="154" spans="6:252" ht="15" hidden="1" x14ac:dyDescent="0.2">
      <c r="F154" s="203">
        <v>4</v>
      </c>
      <c r="G154" s="726">
        <f t="shared" ca="1" si="10"/>
        <v>43900</v>
      </c>
      <c r="H154" s="727"/>
      <c r="I154" s="728"/>
      <c r="J154" s="721">
        <f>IF(F154&lt;=$AN$142,0,Apoio!E253)</f>
        <v>0</v>
      </c>
      <c r="K154" s="723"/>
      <c r="L154" s="722"/>
      <c r="M154" s="721" t="e">
        <f t="shared" si="11"/>
        <v>#N/A</v>
      </c>
      <c r="N154" s="722"/>
      <c r="O154" s="721" t="e">
        <f t="shared" si="5"/>
        <v>#N/A</v>
      </c>
      <c r="P154" s="722"/>
      <c r="Q154" s="724"/>
      <c r="R154" s="725"/>
      <c r="S154" s="721">
        <f t="shared" si="1"/>
        <v>0</v>
      </c>
      <c r="T154" s="722"/>
      <c r="AB154" s="107" t="e">
        <f t="shared" si="6"/>
        <v>#REF!</v>
      </c>
      <c r="AC154" s="107" t="e">
        <f>IF(AND(AB154&gt;=#REF!,AB154&lt;(#REF!+#REF!*$A$73)),#REF!,0)</f>
        <v>#REF!</v>
      </c>
      <c r="AD154" s="107" t="e">
        <f t="shared" si="7"/>
        <v>#REF!</v>
      </c>
      <c r="AE154" s="107" t="e">
        <f>IF(AND(AD154&gt;=#REF!,AD154&lt;(#REF!+#REF!*$A$79)),#REF!,0)</f>
        <v>#REF!</v>
      </c>
      <c r="AF154" s="107">
        <f t="shared" si="8"/>
        <v>57</v>
      </c>
      <c r="AG154" s="107">
        <f t="shared" si="2"/>
        <v>0</v>
      </c>
      <c r="AH154" s="107">
        <f t="shared" si="9"/>
        <v>5</v>
      </c>
      <c r="AI154" s="107">
        <f t="shared" si="3"/>
        <v>0</v>
      </c>
      <c r="AJ154" s="107">
        <v>5</v>
      </c>
      <c r="AK154" s="107" t="e">
        <f t="shared" si="4"/>
        <v>#N/A</v>
      </c>
      <c r="AL154" s="107">
        <v>5</v>
      </c>
      <c r="AM154" s="107">
        <f t="shared" si="0"/>
        <v>0</v>
      </c>
      <c r="IR154" s="698">
        <v>1997</v>
      </c>
    </row>
    <row r="155" spans="6:252" ht="15" hidden="1" x14ac:dyDescent="0.2">
      <c r="F155" s="203">
        <v>5</v>
      </c>
      <c r="G155" s="726">
        <f t="shared" ca="1" si="10"/>
        <v>43931</v>
      </c>
      <c r="H155" s="727"/>
      <c r="I155" s="728"/>
      <c r="J155" s="721" t="e">
        <f ca="1">IF(F155&lt;=$AN$142,0,Apoio!E254)</f>
        <v>#N/A</v>
      </c>
      <c r="K155" s="723"/>
      <c r="L155" s="722"/>
      <c r="M155" s="721" t="e">
        <f t="shared" si="11"/>
        <v>#N/A</v>
      </c>
      <c r="N155" s="722"/>
      <c r="O155" s="721" t="e">
        <f t="shared" ca="1" si="5"/>
        <v>#N/A</v>
      </c>
      <c r="P155" s="722"/>
      <c r="Q155" s="724"/>
      <c r="R155" s="725"/>
      <c r="S155" s="721" t="e">
        <f t="shared" ca="1" si="1"/>
        <v>#N/A</v>
      </c>
      <c r="T155" s="722"/>
      <c r="AB155" s="107" t="e">
        <f t="shared" si="6"/>
        <v>#REF!</v>
      </c>
      <c r="AC155" s="107" t="e">
        <f>IF(AND(AB155&gt;=#REF!,AB155&lt;(#REF!+#REF!*$A$73)),#REF!,0)</f>
        <v>#REF!</v>
      </c>
      <c r="AD155" s="107" t="e">
        <f t="shared" si="7"/>
        <v>#REF!</v>
      </c>
      <c r="AE155" s="107" t="e">
        <f>IF(AND(AD155&gt;=#REF!,AD155&lt;(#REF!+#REF!*$A$79)),#REF!,0)</f>
        <v>#REF!</v>
      </c>
      <c r="AF155" s="107">
        <f t="shared" si="8"/>
        <v>69</v>
      </c>
      <c r="AG155" s="107">
        <f t="shared" si="2"/>
        <v>0</v>
      </c>
      <c r="AH155" s="107">
        <f t="shared" si="9"/>
        <v>5</v>
      </c>
      <c r="AI155" s="107">
        <f t="shared" si="3"/>
        <v>0</v>
      </c>
      <c r="AJ155" s="107">
        <v>6</v>
      </c>
      <c r="AK155" s="107" t="e">
        <f t="shared" si="4"/>
        <v>#N/A</v>
      </c>
      <c r="AL155" s="107">
        <v>6</v>
      </c>
      <c r="AM155" s="107">
        <f t="shared" si="0"/>
        <v>0</v>
      </c>
      <c r="IR155" s="698">
        <v>1998</v>
      </c>
    </row>
    <row r="156" spans="6:252" ht="15" hidden="1" x14ac:dyDescent="0.2">
      <c r="F156" s="203">
        <v>6</v>
      </c>
      <c r="G156" s="726">
        <f t="shared" ca="1" si="10"/>
        <v>43961</v>
      </c>
      <c r="H156" s="727"/>
      <c r="I156" s="728"/>
      <c r="J156" s="721" t="e">
        <f ca="1">IF(F156&lt;=$AN$142,0,Apoio!E255)</f>
        <v>#N/A</v>
      </c>
      <c r="K156" s="723"/>
      <c r="L156" s="722"/>
      <c r="M156" s="721" t="e">
        <f t="shared" si="11"/>
        <v>#N/A</v>
      </c>
      <c r="N156" s="722"/>
      <c r="O156" s="721" t="e">
        <f t="shared" ca="1" si="5"/>
        <v>#N/A</v>
      </c>
      <c r="P156" s="722"/>
      <c r="Q156" s="724"/>
      <c r="R156" s="725"/>
      <c r="S156" s="721" t="e">
        <f t="shared" ca="1" si="1"/>
        <v>#N/A</v>
      </c>
      <c r="T156" s="722"/>
      <c r="AB156" s="107" t="e">
        <f t="shared" si="6"/>
        <v>#REF!</v>
      </c>
      <c r="AC156" s="107" t="e">
        <f>IF(AND(AB156&gt;=#REF!,AB156&lt;(#REF!+#REF!*$A$73)),#REF!,0)</f>
        <v>#REF!</v>
      </c>
      <c r="AD156" s="107" t="e">
        <f t="shared" si="7"/>
        <v>#REF!</v>
      </c>
      <c r="AE156" s="107" t="e">
        <f>IF(AND(AD156&gt;=#REF!,AD156&lt;(#REF!+#REF!*$A$79)),#REF!,0)</f>
        <v>#REF!</v>
      </c>
      <c r="AF156" s="107">
        <f t="shared" si="8"/>
        <v>81</v>
      </c>
      <c r="AG156" s="107">
        <f t="shared" si="2"/>
        <v>0</v>
      </c>
      <c r="AH156" s="107">
        <f t="shared" si="9"/>
        <v>5</v>
      </c>
      <c r="AI156" s="107">
        <f t="shared" si="3"/>
        <v>0</v>
      </c>
      <c r="AJ156" s="107">
        <v>7</v>
      </c>
      <c r="AK156" s="107" t="e">
        <f t="shared" si="4"/>
        <v>#N/A</v>
      </c>
      <c r="AL156" s="107">
        <v>7</v>
      </c>
      <c r="AM156" s="107">
        <f t="shared" si="0"/>
        <v>0</v>
      </c>
      <c r="IR156" s="698">
        <v>1999</v>
      </c>
    </row>
    <row r="157" spans="6:252" ht="15" hidden="1" x14ac:dyDescent="0.2">
      <c r="F157" s="203">
        <v>7</v>
      </c>
      <c r="G157" s="726">
        <f t="shared" ca="1" si="10"/>
        <v>43992</v>
      </c>
      <c r="H157" s="727"/>
      <c r="I157" s="728"/>
      <c r="J157" s="721" t="e">
        <f ca="1">IF(F157&lt;=$AN$142,0,Apoio!E256)</f>
        <v>#N/A</v>
      </c>
      <c r="K157" s="723"/>
      <c r="L157" s="722"/>
      <c r="M157" s="721" t="e">
        <f t="shared" si="11"/>
        <v>#N/A</v>
      </c>
      <c r="N157" s="722"/>
      <c r="O157" s="721" t="e">
        <f t="shared" ca="1" si="5"/>
        <v>#N/A</v>
      </c>
      <c r="P157" s="722"/>
      <c r="Q157" s="724"/>
      <c r="R157" s="725"/>
      <c r="S157" s="721" t="e">
        <f t="shared" ca="1" si="1"/>
        <v>#N/A</v>
      </c>
      <c r="T157" s="722"/>
      <c r="AB157" s="107" t="e">
        <f t="shared" si="6"/>
        <v>#REF!</v>
      </c>
      <c r="AC157" s="107" t="e">
        <f>IF(AND(AB157&gt;=#REF!,AB157&lt;(#REF!+#REF!*$A$73)),#REF!,0)</f>
        <v>#REF!</v>
      </c>
      <c r="AD157" s="107" t="e">
        <f t="shared" si="7"/>
        <v>#REF!</v>
      </c>
      <c r="AE157" s="107" t="e">
        <f>IF(AND(AD157&gt;=#REF!,AD157&lt;(#REF!+#REF!*$A$79)),#REF!,0)</f>
        <v>#REF!</v>
      </c>
      <c r="AF157" s="107">
        <f t="shared" si="8"/>
        <v>93</v>
      </c>
      <c r="AG157" s="107">
        <f t="shared" si="2"/>
        <v>0</v>
      </c>
      <c r="AH157" s="107">
        <f t="shared" si="9"/>
        <v>5</v>
      </c>
      <c r="AI157" s="107">
        <f t="shared" si="3"/>
        <v>0</v>
      </c>
      <c r="AJ157" s="107">
        <v>8</v>
      </c>
      <c r="AK157" s="107" t="e">
        <f t="shared" si="4"/>
        <v>#N/A</v>
      </c>
      <c r="AL157" s="107">
        <v>8</v>
      </c>
      <c r="AM157" s="107">
        <f t="shared" si="0"/>
        <v>0</v>
      </c>
      <c r="IR157" s="698">
        <v>2000</v>
      </c>
    </row>
    <row r="158" spans="6:252" ht="15" hidden="1" x14ac:dyDescent="0.2">
      <c r="F158" s="203">
        <v>8</v>
      </c>
      <c r="G158" s="726">
        <f t="shared" ca="1" si="10"/>
        <v>44022</v>
      </c>
      <c r="H158" s="727"/>
      <c r="I158" s="728"/>
      <c r="J158" s="721" t="e">
        <f ca="1">IF(F158&lt;=$AN$142,0,Apoio!E257)</f>
        <v>#N/A</v>
      </c>
      <c r="K158" s="723"/>
      <c r="L158" s="722"/>
      <c r="M158" s="721" t="e">
        <f t="shared" si="11"/>
        <v>#N/A</v>
      </c>
      <c r="N158" s="722"/>
      <c r="O158" s="721" t="e">
        <f t="shared" ca="1" si="5"/>
        <v>#N/A</v>
      </c>
      <c r="P158" s="722"/>
      <c r="Q158" s="724"/>
      <c r="R158" s="725"/>
      <c r="S158" s="721" t="e">
        <f t="shared" ca="1" si="1"/>
        <v>#N/A</v>
      </c>
      <c r="T158" s="722"/>
      <c r="AB158" s="107" t="e">
        <f t="shared" si="6"/>
        <v>#REF!</v>
      </c>
      <c r="AC158" s="107" t="e">
        <f>IF(AND(AB158&gt;=#REF!,AB158&lt;(#REF!+#REF!*$A$73)),#REF!,0)</f>
        <v>#REF!</v>
      </c>
      <c r="AD158" s="107" t="e">
        <f t="shared" si="7"/>
        <v>#REF!</v>
      </c>
      <c r="AE158" s="107" t="e">
        <f>IF(AND(AD158&gt;=#REF!,AD158&lt;(#REF!+#REF!*$A$79)),#REF!,0)</f>
        <v>#REF!</v>
      </c>
      <c r="AF158" s="107">
        <f t="shared" si="8"/>
        <v>105</v>
      </c>
      <c r="AG158" s="107">
        <f t="shared" si="2"/>
        <v>0</v>
      </c>
      <c r="AH158" s="107">
        <f t="shared" si="9"/>
        <v>5</v>
      </c>
      <c r="AI158" s="107">
        <f t="shared" si="3"/>
        <v>0</v>
      </c>
      <c r="AJ158" s="107">
        <v>9</v>
      </c>
      <c r="AK158" s="107" t="e">
        <f t="shared" si="4"/>
        <v>#N/A</v>
      </c>
      <c r="AL158" s="107">
        <v>9</v>
      </c>
      <c r="AM158" s="107">
        <f t="shared" si="0"/>
        <v>0</v>
      </c>
    </row>
    <row r="159" spans="6:252" ht="15" hidden="1" x14ac:dyDescent="0.2">
      <c r="F159" s="203">
        <v>9</v>
      </c>
      <c r="G159" s="726">
        <f t="shared" ca="1" si="10"/>
        <v>44053</v>
      </c>
      <c r="H159" s="727"/>
      <c r="I159" s="728"/>
      <c r="J159" s="721" t="e">
        <f ca="1">IF(F159&lt;=$AN$142,0,Apoio!E258)</f>
        <v>#N/A</v>
      </c>
      <c r="K159" s="723"/>
      <c r="L159" s="722"/>
      <c r="M159" s="721" t="e">
        <f t="shared" si="11"/>
        <v>#N/A</v>
      </c>
      <c r="N159" s="722"/>
      <c r="O159" s="721" t="e">
        <f t="shared" ca="1" si="5"/>
        <v>#N/A</v>
      </c>
      <c r="P159" s="722"/>
      <c r="Q159" s="724"/>
      <c r="R159" s="725"/>
      <c r="S159" s="721" t="e">
        <f t="shared" ca="1" si="1"/>
        <v>#N/A</v>
      </c>
      <c r="T159" s="722"/>
      <c r="AB159" s="107" t="e">
        <f t="shared" si="6"/>
        <v>#REF!</v>
      </c>
      <c r="AC159" s="107" t="e">
        <f>IF(AND(AB159&gt;=#REF!,AB159&lt;(#REF!+#REF!*$A$73)),#REF!,0)</f>
        <v>#REF!</v>
      </c>
      <c r="AD159" s="107" t="e">
        <f t="shared" si="7"/>
        <v>#REF!</v>
      </c>
      <c r="AE159" s="107" t="e">
        <f>IF(AND(AD159&gt;=#REF!,AD159&lt;(#REF!+#REF!*$A$79)),#REF!,0)</f>
        <v>#REF!</v>
      </c>
      <c r="AF159" s="107">
        <f t="shared" si="8"/>
        <v>117</v>
      </c>
      <c r="AG159" s="107">
        <f t="shared" si="2"/>
        <v>0</v>
      </c>
      <c r="AH159" s="107">
        <f t="shared" si="9"/>
        <v>5</v>
      </c>
      <c r="AI159" s="107">
        <f t="shared" si="3"/>
        <v>0</v>
      </c>
      <c r="AJ159" s="107">
        <v>10</v>
      </c>
      <c r="AK159" s="107" t="e">
        <f t="shared" si="4"/>
        <v>#N/A</v>
      </c>
      <c r="AL159" s="107">
        <v>10</v>
      </c>
      <c r="AM159" s="107">
        <f t="shared" si="0"/>
        <v>0</v>
      </c>
    </row>
    <row r="160" spans="6:252" ht="15" hidden="1" x14ac:dyDescent="0.2">
      <c r="F160" s="203">
        <v>10</v>
      </c>
      <c r="G160" s="726">
        <f t="shared" ca="1" si="10"/>
        <v>44084</v>
      </c>
      <c r="H160" s="727"/>
      <c r="I160" s="728"/>
      <c r="J160" s="721" t="e">
        <f ca="1">IF(F160&lt;=$AN$142,0,Apoio!E259)</f>
        <v>#N/A</v>
      </c>
      <c r="K160" s="723"/>
      <c r="L160" s="722"/>
      <c r="M160" s="721" t="e">
        <f t="shared" si="11"/>
        <v>#N/A</v>
      </c>
      <c r="N160" s="722"/>
      <c r="O160" s="721" t="e">
        <f t="shared" ca="1" si="5"/>
        <v>#N/A</v>
      </c>
      <c r="P160" s="722"/>
      <c r="Q160" s="724"/>
      <c r="R160" s="725"/>
      <c r="S160" s="721" t="e">
        <f t="shared" ca="1" si="1"/>
        <v>#N/A</v>
      </c>
      <c r="T160" s="722"/>
      <c r="AB160" s="107" t="e">
        <f t="shared" si="6"/>
        <v>#REF!</v>
      </c>
      <c r="AC160" s="107" t="e">
        <f>IF(AND(AB160&gt;=#REF!,AB160&lt;(#REF!+#REF!*$A$73)),#REF!,0)</f>
        <v>#REF!</v>
      </c>
      <c r="AD160" s="107" t="e">
        <f t="shared" si="7"/>
        <v>#REF!</v>
      </c>
      <c r="AE160" s="107" t="e">
        <f>IF(AND(AD160&gt;=#REF!,AD160&lt;(#REF!+#REF!*$A$79)),#REF!,0)</f>
        <v>#REF!</v>
      </c>
      <c r="AF160" s="107">
        <f t="shared" si="8"/>
        <v>129</v>
      </c>
      <c r="AG160" s="107">
        <f t="shared" si="2"/>
        <v>0</v>
      </c>
      <c r="AH160" s="107">
        <f t="shared" si="9"/>
        <v>5</v>
      </c>
      <c r="AI160" s="107">
        <f t="shared" si="3"/>
        <v>0</v>
      </c>
      <c r="AJ160" s="107">
        <v>11</v>
      </c>
      <c r="AK160" s="107" t="e">
        <f t="shared" si="4"/>
        <v>#N/A</v>
      </c>
      <c r="AL160" s="107">
        <v>11</v>
      </c>
      <c r="AM160" s="107">
        <f t="shared" si="0"/>
        <v>0</v>
      </c>
    </row>
    <row r="161" spans="6:39" ht="15" hidden="1" x14ac:dyDescent="0.2">
      <c r="F161" s="203">
        <v>11</v>
      </c>
      <c r="G161" s="726">
        <f t="shared" ca="1" si="10"/>
        <v>44114</v>
      </c>
      <c r="H161" s="727"/>
      <c r="I161" s="728"/>
      <c r="J161" s="721" t="e">
        <f ca="1">IF(F161&lt;=$AN$142,0,Apoio!E260)</f>
        <v>#N/A</v>
      </c>
      <c r="K161" s="723"/>
      <c r="L161" s="722"/>
      <c r="M161" s="721" t="e">
        <f t="shared" si="11"/>
        <v>#N/A</v>
      </c>
      <c r="N161" s="722"/>
      <c r="O161" s="721" t="e">
        <f t="shared" ca="1" si="5"/>
        <v>#N/A</v>
      </c>
      <c r="P161" s="722"/>
      <c r="Q161" s="724"/>
      <c r="R161" s="725"/>
      <c r="S161" s="721" t="e">
        <f t="shared" ca="1" si="1"/>
        <v>#N/A</v>
      </c>
      <c r="T161" s="722"/>
      <c r="AB161" s="107" t="e">
        <f t="shared" si="6"/>
        <v>#REF!</v>
      </c>
      <c r="AC161" s="107" t="e">
        <f>IF(AND(AB161&gt;=#REF!,AB161&lt;(#REF!+#REF!*$A$73)),#REF!,0)</f>
        <v>#REF!</v>
      </c>
      <c r="AD161" s="107" t="e">
        <f t="shared" si="7"/>
        <v>#REF!</v>
      </c>
      <c r="AE161" s="107" t="e">
        <f>IF(AND(AD161&gt;=#REF!,AD161&lt;(#REF!+#REF!*$A$79)),#REF!,0)</f>
        <v>#REF!</v>
      </c>
      <c r="AF161" s="107">
        <f t="shared" si="8"/>
        <v>141</v>
      </c>
      <c r="AG161" s="107">
        <f t="shared" si="2"/>
        <v>0</v>
      </c>
      <c r="AH161" s="107">
        <f t="shared" si="9"/>
        <v>5</v>
      </c>
      <c r="AI161" s="107">
        <f t="shared" si="3"/>
        <v>0</v>
      </c>
      <c r="AJ161" s="107">
        <v>12</v>
      </c>
      <c r="AK161" s="107" t="e">
        <f t="shared" si="4"/>
        <v>#N/A</v>
      </c>
      <c r="AL161" s="107">
        <v>12</v>
      </c>
      <c r="AM161" s="107">
        <f t="shared" si="0"/>
        <v>0</v>
      </c>
    </row>
    <row r="162" spans="6:39" ht="15" hidden="1" x14ac:dyDescent="0.2">
      <c r="F162" s="203">
        <v>12</v>
      </c>
      <c r="G162" s="726">
        <f t="shared" ca="1" si="10"/>
        <v>44145</v>
      </c>
      <c r="H162" s="727"/>
      <c r="I162" s="728"/>
      <c r="J162" s="721" t="e">
        <f ca="1">IF(F162&lt;=$AN$142,0,Apoio!E261)</f>
        <v>#N/A</v>
      </c>
      <c r="K162" s="723"/>
      <c r="L162" s="722"/>
      <c r="M162" s="721" t="e">
        <f t="shared" si="11"/>
        <v>#N/A</v>
      </c>
      <c r="N162" s="722"/>
      <c r="O162" s="721" t="e">
        <f t="shared" ca="1" si="5"/>
        <v>#N/A</v>
      </c>
      <c r="P162" s="722"/>
      <c r="Q162" s="724"/>
      <c r="R162" s="725"/>
      <c r="S162" s="721" t="e">
        <f t="shared" ca="1" si="1"/>
        <v>#N/A</v>
      </c>
      <c r="T162" s="722"/>
      <c r="AB162" s="107" t="e">
        <f t="shared" si="6"/>
        <v>#REF!</v>
      </c>
      <c r="AC162" s="107" t="e">
        <f>IF(AND(AB162&gt;=#REF!,AB162&lt;(#REF!+#REF!*$A$73)),#REF!,0)</f>
        <v>#REF!</v>
      </c>
      <c r="AD162" s="107" t="e">
        <f t="shared" si="7"/>
        <v>#REF!</v>
      </c>
      <c r="AE162" s="107" t="e">
        <f>IF(AND(AD162&gt;=#REF!,AD162&lt;(#REF!+#REF!*$A$79)),#REF!,0)</f>
        <v>#REF!</v>
      </c>
      <c r="AF162" s="107">
        <f t="shared" si="8"/>
        <v>153</v>
      </c>
      <c r="AG162" s="107">
        <f t="shared" si="2"/>
        <v>0</v>
      </c>
      <c r="AH162" s="107">
        <f t="shared" si="9"/>
        <v>5</v>
      </c>
      <c r="AI162" s="107">
        <f t="shared" si="3"/>
        <v>0</v>
      </c>
      <c r="AJ162" s="107">
        <v>13</v>
      </c>
      <c r="AK162" s="107" t="e">
        <f t="shared" si="4"/>
        <v>#N/A</v>
      </c>
      <c r="AL162" s="107">
        <v>13</v>
      </c>
      <c r="AM162" s="107">
        <f t="shared" si="0"/>
        <v>0</v>
      </c>
    </row>
    <row r="163" spans="6:39" ht="15" hidden="1" x14ac:dyDescent="0.2">
      <c r="F163" s="203">
        <v>13</v>
      </c>
      <c r="G163" s="726">
        <f t="shared" ca="1" si="10"/>
        <v>44175</v>
      </c>
      <c r="H163" s="727"/>
      <c r="I163" s="728"/>
      <c r="J163" s="721" t="e">
        <f ca="1">IF(F163&lt;=$AN$142,0,Apoio!E262)</f>
        <v>#N/A</v>
      </c>
      <c r="K163" s="723"/>
      <c r="L163" s="722"/>
      <c r="M163" s="721" t="e">
        <f t="shared" si="11"/>
        <v>#N/A</v>
      </c>
      <c r="N163" s="722"/>
      <c r="O163" s="721" t="e">
        <f t="shared" ca="1" si="5"/>
        <v>#N/A</v>
      </c>
      <c r="P163" s="722"/>
      <c r="Q163" s="724"/>
      <c r="R163" s="725"/>
      <c r="S163" s="721" t="e">
        <f t="shared" ca="1" si="1"/>
        <v>#N/A</v>
      </c>
      <c r="T163" s="722"/>
      <c r="AB163" s="107" t="e">
        <f t="shared" si="6"/>
        <v>#REF!</v>
      </c>
      <c r="AC163" s="107" t="e">
        <f>IF(AND(AB163&gt;=#REF!,AB163&lt;(#REF!+#REF!*$A$73)),#REF!,0)</f>
        <v>#REF!</v>
      </c>
      <c r="AD163" s="107" t="e">
        <f t="shared" si="7"/>
        <v>#REF!</v>
      </c>
      <c r="AE163" s="107" t="e">
        <f>IF(AND(AD163&gt;=#REF!,AD163&lt;(#REF!+#REF!*$A$79)),#REF!,0)</f>
        <v>#REF!</v>
      </c>
      <c r="AF163" s="107">
        <f t="shared" si="8"/>
        <v>165</v>
      </c>
      <c r="AG163" s="107">
        <f t="shared" si="2"/>
        <v>0</v>
      </c>
      <c r="AH163" s="107">
        <f t="shared" si="9"/>
        <v>5</v>
      </c>
      <c r="AI163" s="107">
        <f t="shared" si="3"/>
        <v>0</v>
      </c>
      <c r="AJ163" s="107">
        <v>14</v>
      </c>
      <c r="AK163" s="107" t="e">
        <f t="shared" si="4"/>
        <v>#N/A</v>
      </c>
      <c r="AL163" s="107">
        <v>14</v>
      </c>
      <c r="AM163" s="107">
        <f t="shared" si="0"/>
        <v>0</v>
      </c>
    </row>
    <row r="164" spans="6:39" ht="15" hidden="1" x14ac:dyDescent="0.2">
      <c r="F164" s="203">
        <v>14</v>
      </c>
      <c r="G164" s="726">
        <f t="shared" ca="1" si="10"/>
        <v>44206</v>
      </c>
      <c r="H164" s="727"/>
      <c r="I164" s="728"/>
      <c r="J164" s="721" t="e">
        <f ca="1">IF(F164&lt;=$AN$142,0,Apoio!E263)</f>
        <v>#N/A</v>
      </c>
      <c r="K164" s="723"/>
      <c r="L164" s="722"/>
      <c r="M164" s="721" t="e">
        <f t="shared" si="11"/>
        <v>#N/A</v>
      </c>
      <c r="N164" s="722"/>
      <c r="O164" s="721" t="e">
        <f t="shared" ca="1" si="5"/>
        <v>#N/A</v>
      </c>
      <c r="P164" s="722"/>
      <c r="Q164" s="724"/>
      <c r="R164" s="725"/>
      <c r="S164" s="721" t="e">
        <f t="shared" ca="1" si="1"/>
        <v>#N/A</v>
      </c>
      <c r="T164" s="722"/>
      <c r="AB164" s="107" t="e">
        <f t="shared" si="6"/>
        <v>#REF!</v>
      </c>
      <c r="AC164" s="107" t="e">
        <f>IF(AND(AB164&gt;=#REF!,AB164&lt;(#REF!+#REF!*$A$73)),#REF!,0)</f>
        <v>#REF!</v>
      </c>
      <c r="AD164" s="107" t="e">
        <f t="shared" si="7"/>
        <v>#REF!</v>
      </c>
      <c r="AE164" s="107" t="e">
        <f>IF(AND(AD164&gt;=#REF!,AD164&lt;(#REF!+#REF!*$A$79)),#REF!,0)</f>
        <v>#REF!</v>
      </c>
      <c r="AF164" s="107">
        <f t="shared" si="8"/>
        <v>177</v>
      </c>
      <c r="AG164" s="107">
        <f t="shared" si="2"/>
        <v>0</v>
      </c>
      <c r="AH164" s="107">
        <f t="shared" si="9"/>
        <v>5</v>
      </c>
      <c r="AI164" s="107">
        <f t="shared" si="3"/>
        <v>0</v>
      </c>
      <c r="AJ164" s="107">
        <v>15</v>
      </c>
      <c r="AK164" s="107" t="e">
        <f t="shared" si="4"/>
        <v>#N/A</v>
      </c>
      <c r="AL164" s="107">
        <v>15</v>
      </c>
      <c r="AM164" s="107">
        <f t="shared" si="0"/>
        <v>0</v>
      </c>
    </row>
    <row r="165" spans="6:39" ht="15" hidden="1" x14ac:dyDescent="0.2">
      <c r="F165" s="203">
        <v>15</v>
      </c>
      <c r="G165" s="726">
        <f t="shared" ca="1" si="10"/>
        <v>44237</v>
      </c>
      <c r="H165" s="727"/>
      <c r="I165" s="728"/>
      <c r="J165" s="721" t="e">
        <f ca="1">IF(F165&lt;=$AN$142,0,Apoio!E264)</f>
        <v>#N/A</v>
      </c>
      <c r="K165" s="723"/>
      <c r="L165" s="722"/>
      <c r="M165" s="721" t="e">
        <f t="shared" si="11"/>
        <v>#N/A</v>
      </c>
      <c r="N165" s="722"/>
      <c r="O165" s="721" t="e">
        <f t="shared" ca="1" si="5"/>
        <v>#N/A</v>
      </c>
      <c r="P165" s="722"/>
      <c r="Q165" s="724"/>
      <c r="R165" s="725"/>
      <c r="S165" s="721" t="e">
        <f t="shared" ca="1" si="1"/>
        <v>#N/A</v>
      </c>
      <c r="T165" s="722"/>
      <c r="AB165" s="107" t="e">
        <f t="shared" si="6"/>
        <v>#REF!</v>
      </c>
      <c r="AC165" s="107" t="e">
        <f>IF(AND(AB165&gt;=#REF!,AB165&lt;(#REF!+#REF!*$A$73)),#REF!,0)</f>
        <v>#REF!</v>
      </c>
      <c r="AD165" s="107" t="e">
        <f t="shared" si="7"/>
        <v>#REF!</v>
      </c>
      <c r="AE165" s="107" t="e">
        <f>IF(AND(AD165&gt;=#REF!,AD165&lt;(#REF!+#REF!*$A$79)),#REF!,0)</f>
        <v>#REF!</v>
      </c>
      <c r="AF165" s="107">
        <f t="shared" si="8"/>
        <v>189</v>
      </c>
      <c r="AG165" s="107">
        <f t="shared" si="2"/>
        <v>0</v>
      </c>
      <c r="AH165" s="107">
        <f t="shared" si="9"/>
        <v>5</v>
      </c>
      <c r="AI165" s="107">
        <f t="shared" si="3"/>
        <v>0</v>
      </c>
      <c r="AJ165" s="107">
        <v>16</v>
      </c>
      <c r="AK165" s="107" t="e">
        <f t="shared" si="4"/>
        <v>#N/A</v>
      </c>
      <c r="AL165" s="107">
        <v>16</v>
      </c>
      <c r="AM165" s="107">
        <f t="shared" si="0"/>
        <v>0</v>
      </c>
    </row>
    <row r="166" spans="6:39" ht="15" hidden="1" x14ac:dyDescent="0.2">
      <c r="F166" s="203">
        <v>16</v>
      </c>
      <c r="G166" s="726">
        <f t="shared" ca="1" si="10"/>
        <v>44265</v>
      </c>
      <c r="H166" s="727"/>
      <c r="I166" s="728"/>
      <c r="J166" s="721" t="e">
        <f ca="1">IF(F166&lt;=$AN$142,0,Apoio!E265)</f>
        <v>#N/A</v>
      </c>
      <c r="K166" s="723"/>
      <c r="L166" s="722"/>
      <c r="M166" s="721" t="e">
        <f t="shared" si="11"/>
        <v>#N/A</v>
      </c>
      <c r="N166" s="722"/>
      <c r="O166" s="721" t="e">
        <f t="shared" ca="1" si="5"/>
        <v>#N/A</v>
      </c>
      <c r="P166" s="722"/>
      <c r="Q166" s="724"/>
      <c r="R166" s="725"/>
      <c r="S166" s="721" t="e">
        <f t="shared" ca="1" si="1"/>
        <v>#N/A</v>
      </c>
      <c r="T166" s="722"/>
      <c r="AB166" s="107" t="e">
        <f t="shared" si="6"/>
        <v>#REF!</v>
      </c>
      <c r="AC166" s="107" t="e">
        <f>IF(AND(AB166&gt;=#REF!,AB166&lt;(#REF!+#REF!*$A$73)),#REF!,0)</f>
        <v>#REF!</v>
      </c>
      <c r="AD166" s="107" t="e">
        <f t="shared" si="7"/>
        <v>#REF!</v>
      </c>
      <c r="AE166" s="107" t="e">
        <f>IF(AND(AD166&gt;=#REF!,AD166&lt;(#REF!+#REF!*$A$79)),#REF!,0)</f>
        <v>#REF!</v>
      </c>
      <c r="AF166" s="107">
        <f t="shared" si="8"/>
        <v>201</v>
      </c>
      <c r="AG166" s="107">
        <f t="shared" si="2"/>
        <v>0</v>
      </c>
      <c r="AH166" s="107">
        <f t="shared" si="9"/>
        <v>5</v>
      </c>
      <c r="AI166" s="107">
        <f t="shared" si="3"/>
        <v>0</v>
      </c>
      <c r="AJ166" s="107">
        <v>17</v>
      </c>
      <c r="AK166" s="107" t="e">
        <f t="shared" si="4"/>
        <v>#N/A</v>
      </c>
      <c r="AL166" s="107">
        <v>17</v>
      </c>
      <c r="AM166" s="107">
        <f t="shared" si="0"/>
        <v>0</v>
      </c>
    </row>
    <row r="167" spans="6:39" ht="15" hidden="1" x14ac:dyDescent="0.2">
      <c r="F167" s="203">
        <v>17</v>
      </c>
      <c r="G167" s="726">
        <f t="shared" ca="1" si="10"/>
        <v>44296</v>
      </c>
      <c r="H167" s="727"/>
      <c r="I167" s="728"/>
      <c r="J167" s="721" t="e">
        <f ca="1">IF(F167&lt;=$AN$142,0,Apoio!E266)</f>
        <v>#N/A</v>
      </c>
      <c r="K167" s="723"/>
      <c r="L167" s="722"/>
      <c r="M167" s="721" t="e">
        <f t="shared" si="11"/>
        <v>#N/A</v>
      </c>
      <c r="N167" s="722"/>
      <c r="O167" s="721" t="e">
        <f t="shared" ca="1" si="5"/>
        <v>#N/A</v>
      </c>
      <c r="P167" s="722"/>
      <c r="Q167" s="724"/>
      <c r="R167" s="725"/>
      <c r="S167" s="721" t="e">
        <f t="shared" ca="1" si="1"/>
        <v>#N/A</v>
      </c>
      <c r="T167" s="722"/>
      <c r="AB167" s="107" t="e">
        <f t="shared" si="6"/>
        <v>#REF!</v>
      </c>
      <c r="AC167" s="107" t="e">
        <f>IF(AND(AB167&gt;=#REF!,AB167&lt;(#REF!+#REF!*$A$73)),#REF!,0)</f>
        <v>#REF!</v>
      </c>
      <c r="AD167" s="107" t="e">
        <f t="shared" si="7"/>
        <v>#REF!</v>
      </c>
      <c r="AE167" s="107" t="e">
        <f>IF(AND(AD167&gt;=#REF!,AD167&lt;(#REF!+#REF!*$A$79)),#REF!,0)</f>
        <v>#REF!</v>
      </c>
      <c r="AF167" s="107">
        <f t="shared" si="8"/>
        <v>213</v>
      </c>
      <c r="AG167" s="107">
        <f t="shared" si="2"/>
        <v>0</v>
      </c>
      <c r="AH167" s="107">
        <f t="shared" si="9"/>
        <v>5</v>
      </c>
      <c r="AI167" s="107">
        <f t="shared" si="3"/>
        <v>0</v>
      </c>
      <c r="AJ167" s="107">
        <v>18</v>
      </c>
      <c r="AK167" s="107" t="e">
        <f t="shared" si="4"/>
        <v>#N/A</v>
      </c>
      <c r="AL167" s="107">
        <v>18</v>
      </c>
      <c r="AM167" s="107">
        <f t="shared" si="0"/>
        <v>0</v>
      </c>
    </row>
    <row r="168" spans="6:39" ht="15" hidden="1" x14ac:dyDescent="0.2">
      <c r="F168" s="203">
        <v>18</v>
      </c>
      <c r="G168" s="726">
        <f t="shared" ca="1" si="10"/>
        <v>44326</v>
      </c>
      <c r="H168" s="727"/>
      <c r="I168" s="728"/>
      <c r="J168" s="721" t="e">
        <f ca="1">IF(F168&lt;=$AN$142,0,Apoio!E267)</f>
        <v>#N/A</v>
      </c>
      <c r="K168" s="723"/>
      <c r="L168" s="722"/>
      <c r="M168" s="721" t="e">
        <f t="shared" si="11"/>
        <v>#N/A</v>
      </c>
      <c r="N168" s="722"/>
      <c r="O168" s="721" t="e">
        <f t="shared" ca="1" si="5"/>
        <v>#N/A</v>
      </c>
      <c r="P168" s="722"/>
      <c r="Q168" s="724"/>
      <c r="R168" s="725"/>
      <c r="S168" s="721" t="e">
        <f t="shared" ca="1" si="1"/>
        <v>#N/A</v>
      </c>
      <c r="T168" s="722"/>
      <c r="AB168" s="107" t="e">
        <f t="shared" si="6"/>
        <v>#REF!</v>
      </c>
      <c r="AC168" s="107" t="e">
        <f>IF(AND(AB168&gt;=#REF!,AB168&lt;(#REF!+#REF!*$A$73)),#REF!,0)</f>
        <v>#REF!</v>
      </c>
      <c r="AD168" s="107" t="e">
        <f t="shared" si="7"/>
        <v>#REF!</v>
      </c>
      <c r="AE168" s="107" t="e">
        <f>IF(AND(AD168&gt;=#REF!,AD168&lt;(#REF!+#REF!*$A$79)),#REF!,0)</f>
        <v>#REF!</v>
      </c>
      <c r="AF168" s="107">
        <f t="shared" si="8"/>
        <v>225</v>
      </c>
      <c r="AG168" s="107">
        <f t="shared" si="2"/>
        <v>0</v>
      </c>
      <c r="AH168" s="107">
        <f t="shared" si="9"/>
        <v>5</v>
      </c>
      <c r="AI168" s="107">
        <f t="shared" si="3"/>
        <v>0</v>
      </c>
      <c r="AJ168" s="107">
        <v>19</v>
      </c>
      <c r="AK168" s="107" t="e">
        <f t="shared" si="4"/>
        <v>#N/A</v>
      </c>
      <c r="AL168" s="107">
        <v>19</v>
      </c>
      <c r="AM168" s="107">
        <f t="shared" si="0"/>
        <v>0</v>
      </c>
    </row>
    <row r="169" spans="6:39" ht="15" hidden="1" x14ac:dyDescent="0.2">
      <c r="F169" s="203">
        <v>19</v>
      </c>
      <c r="G169" s="726">
        <f t="shared" ca="1" si="10"/>
        <v>44357</v>
      </c>
      <c r="H169" s="727"/>
      <c r="I169" s="728"/>
      <c r="J169" s="721" t="e">
        <f ca="1">IF(F169&lt;=$AN$142,0,Apoio!E268)</f>
        <v>#N/A</v>
      </c>
      <c r="K169" s="723"/>
      <c r="L169" s="722"/>
      <c r="M169" s="721" t="e">
        <f t="shared" si="11"/>
        <v>#N/A</v>
      </c>
      <c r="N169" s="722"/>
      <c r="O169" s="721" t="e">
        <f t="shared" ca="1" si="5"/>
        <v>#N/A</v>
      </c>
      <c r="P169" s="722"/>
      <c r="Q169" s="724"/>
      <c r="R169" s="725"/>
      <c r="S169" s="721" t="e">
        <f t="shared" ca="1" si="1"/>
        <v>#N/A</v>
      </c>
      <c r="T169" s="722"/>
      <c r="AB169" s="107" t="e">
        <f t="shared" si="6"/>
        <v>#REF!</v>
      </c>
      <c r="AC169" s="107" t="e">
        <f>IF(AND(AB169&gt;=#REF!,AB169&lt;(#REF!+#REF!*$A$73)),#REF!,0)</f>
        <v>#REF!</v>
      </c>
      <c r="AD169" s="107" t="e">
        <f t="shared" si="7"/>
        <v>#REF!</v>
      </c>
      <c r="AE169" s="107" t="e">
        <f>IF(AND(AD169&gt;=#REF!,AD169&lt;(#REF!+#REF!*$A$79)),#REF!,0)</f>
        <v>#REF!</v>
      </c>
      <c r="AF169" s="107">
        <f t="shared" si="8"/>
        <v>237</v>
      </c>
      <c r="AG169" s="107">
        <f t="shared" si="2"/>
        <v>0</v>
      </c>
      <c r="AH169" s="107">
        <f t="shared" si="9"/>
        <v>5</v>
      </c>
      <c r="AI169" s="107">
        <f t="shared" si="3"/>
        <v>0</v>
      </c>
      <c r="AJ169" s="107">
        <v>20</v>
      </c>
      <c r="AK169" s="107" t="e">
        <f t="shared" si="4"/>
        <v>#N/A</v>
      </c>
      <c r="AL169" s="107">
        <v>20</v>
      </c>
      <c r="AM169" s="107">
        <f t="shared" si="0"/>
        <v>0</v>
      </c>
    </row>
    <row r="170" spans="6:39" ht="15" hidden="1" x14ac:dyDescent="0.2">
      <c r="F170" s="203">
        <v>20</v>
      </c>
      <c r="G170" s="726">
        <f t="shared" ca="1" si="10"/>
        <v>44387</v>
      </c>
      <c r="H170" s="727"/>
      <c r="I170" s="728"/>
      <c r="J170" s="721" t="e">
        <f ca="1">IF(F170&lt;=$AN$142,0,Apoio!E269)</f>
        <v>#N/A</v>
      </c>
      <c r="K170" s="723"/>
      <c r="L170" s="722"/>
      <c r="M170" s="721" t="e">
        <f t="shared" si="11"/>
        <v>#N/A</v>
      </c>
      <c r="N170" s="722"/>
      <c r="O170" s="721" t="e">
        <f t="shared" ca="1" si="5"/>
        <v>#N/A</v>
      </c>
      <c r="P170" s="722"/>
      <c r="Q170" s="724"/>
      <c r="R170" s="725"/>
      <c r="S170" s="721" t="e">
        <f t="shared" ca="1" si="1"/>
        <v>#N/A</v>
      </c>
      <c r="T170" s="722"/>
      <c r="AB170" s="107" t="e">
        <f t="shared" si="6"/>
        <v>#REF!</v>
      </c>
      <c r="AC170" s="107" t="e">
        <f>IF(AND(AB170&gt;=#REF!,AB170&lt;(#REF!+#REF!*$A$73)),#REF!,0)</f>
        <v>#REF!</v>
      </c>
      <c r="AD170" s="107" t="e">
        <f t="shared" si="7"/>
        <v>#REF!</v>
      </c>
      <c r="AE170" s="107" t="e">
        <f>IF(AND(AD170&gt;=#REF!,AD170&lt;(#REF!+#REF!*$A$79)),#REF!,0)</f>
        <v>#REF!</v>
      </c>
      <c r="AF170" s="107">
        <f t="shared" si="8"/>
        <v>249</v>
      </c>
      <c r="AG170" s="107">
        <f t="shared" si="2"/>
        <v>0</v>
      </c>
      <c r="AH170" s="107">
        <f t="shared" si="9"/>
        <v>5</v>
      </c>
      <c r="AI170" s="107">
        <f t="shared" si="3"/>
        <v>0</v>
      </c>
      <c r="AJ170" s="107">
        <v>21</v>
      </c>
      <c r="AK170" s="107" t="e">
        <f t="shared" si="4"/>
        <v>#N/A</v>
      </c>
      <c r="AL170" s="107">
        <v>21</v>
      </c>
      <c r="AM170" s="107">
        <f t="shared" si="0"/>
        <v>0</v>
      </c>
    </row>
    <row r="171" spans="6:39" ht="15" hidden="1" x14ac:dyDescent="0.2">
      <c r="F171" s="203">
        <v>21</v>
      </c>
      <c r="G171" s="726">
        <f t="shared" ca="1" si="10"/>
        <v>44418</v>
      </c>
      <c r="H171" s="727"/>
      <c r="I171" s="728"/>
      <c r="J171" s="721" t="e">
        <f ca="1">IF(F171&lt;=$AN$142,0,Apoio!E270)</f>
        <v>#N/A</v>
      </c>
      <c r="K171" s="723"/>
      <c r="L171" s="722"/>
      <c r="M171" s="721" t="e">
        <f t="shared" si="11"/>
        <v>#N/A</v>
      </c>
      <c r="N171" s="722"/>
      <c r="O171" s="721" t="e">
        <f t="shared" ca="1" si="5"/>
        <v>#N/A</v>
      </c>
      <c r="P171" s="722"/>
      <c r="Q171" s="724"/>
      <c r="R171" s="725"/>
      <c r="S171" s="721" t="e">
        <f t="shared" ca="1" si="1"/>
        <v>#N/A</v>
      </c>
      <c r="T171" s="722"/>
      <c r="AB171" s="107" t="e">
        <f t="shared" si="6"/>
        <v>#REF!</v>
      </c>
      <c r="AC171" s="107" t="e">
        <f>IF(AND(AB171&gt;=#REF!,AB171&lt;(#REF!+#REF!*$A$73)),#REF!,0)</f>
        <v>#REF!</v>
      </c>
      <c r="AD171" s="107" t="e">
        <f t="shared" si="7"/>
        <v>#REF!</v>
      </c>
      <c r="AE171" s="107" t="e">
        <f>IF(AND(AD171&gt;=#REF!,AD171&lt;(#REF!+#REF!*$A$79)),#REF!,0)</f>
        <v>#REF!</v>
      </c>
      <c r="AF171" s="107">
        <f t="shared" si="8"/>
        <v>261</v>
      </c>
      <c r="AG171" s="107">
        <f t="shared" si="2"/>
        <v>0</v>
      </c>
      <c r="AH171" s="107">
        <f t="shared" si="9"/>
        <v>5</v>
      </c>
      <c r="AI171" s="107">
        <f t="shared" si="3"/>
        <v>0</v>
      </c>
      <c r="AJ171" s="107">
        <v>22</v>
      </c>
      <c r="AK171" s="107" t="e">
        <f t="shared" si="4"/>
        <v>#N/A</v>
      </c>
      <c r="AL171" s="107">
        <v>22</v>
      </c>
      <c r="AM171" s="107">
        <f t="shared" si="0"/>
        <v>0</v>
      </c>
    </row>
    <row r="172" spans="6:39" ht="15" hidden="1" x14ac:dyDescent="0.2">
      <c r="F172" s="203">
        <v>22</v>
      </c>
      <c r="G172" s="726">
        <f t="shared" ca="1" si="10"/>
        <v>44449</v>
      </c>
      <c r="H172" s="727"/>
      <c r="I172" s="728"/>
      <c r="J172" s="721" t="e">
        <f ca="1">IF(F172&lt;=$AN$142,0,Apoio!E271)</f>
        <v>#N/A</v>
      </c>
      <c r="K172" s="723"/>
      <c r="L172" s="722"/>
      <c r="M172" s="721" t="e">
        <f t="shared" si="11"/>
        <v>#N/A</v>
      </c>
      <c r="N172" s="722"/>
      <c r="O172" s="721" t="e">
        <f t="shared" ca="1" si="5"/>
        <v>#N/A</v>
      </c>
      <c r="P172" s="722"/>
      <c r="Q172" s="724"/>
      <c r="R172" s="725"/>
      <c r="S172" s="721" t="e">
        <f t="shared" ca="1" si="1"/>
        <v>#N/A</v>
      </c>
      <c r="T172" s="722"/>
      <c r="AB172" s="107" t="e">
        <f t="shared" si="6"/>
        <v>#REF!</v>
      </c>
      <c r="AC172" s="107" t="e">
        <f>IF(AND(AB172&gt;=#REF!,AB172&lt;(#REF!+#REF!*$A$73)),#REF!,0)</f>
        <v>#REF!</v>
      </c>
      <c r="AD172" s="107" t="e">
        <f t="shared" si="7"/>
        <v>#REF!</v>
      </c>
      <c r="AE172" s="107" t="e">
        <f>IF(AND(AD172&gt;=#REF!,AD172&lt;(#REF!+#REF!*$A$79)),#REF!,0)</f>
        <v>#REF!</v>
      </c>
      <c r="AF172" s="107">
        <f t="shared" si="8"/>
        <v>273</v>
      </c>
      <c r="AG172" s="107">
        <f t="shared" si="2"/>
        <v>0</v>
      </c>
      <c r="AH172" s="107">
        <f t="shared" si="9"/>
        <v>5</v>
      </c>
      <c r="AI172" s="107">
        <f t="shared" si="3"/>
        <v>0</v>
      </c>
      <c r="AJ172" s="107">
        <v>23</v>
      </c>
      <c r="AK172" s="107" t="e">
        <f t="shared" si="4"/>
        <v>#N/A</v>
      </c>
      <c r="AL172" s="107">
        <v>23</v>
      </c>
      <c r="AM172" s="107">
        <f t="shared" si="0"/>
        <v>0</v>
      </c>
    </row>
    <row r="173" spans="6:39" ht="15" hidden="1" x14ac:dyDescent="0.2">
      <c r="F173" s="203">
        <v>23</v>
      </c>
      <c r="G173" s="726">
        <f t="shared" ca="1" si="10"/>
        <v>44479</v>
      </c>
      <c r="H173" s="727"/>
      <c r="I173" s="728"/>
      <c r="J173" s="721" t="e">
        <f ca="1">IF(F173&lt;=$AN$142,0,Apoio!E272)</f>
        <v>#N/A</v>
      </c>
      <c r="K173" s="723"/>
      <c r="L173" s="722"/>
      <c r="M173" s="721" t="e">
        <f t="shared" si="11"/>
        <v>#N/A</v>
      </c>
      <c r="N173" s="722"/>
      <c r="O173" s="721" t="e">
        <f t="shared" ca="1" si="5"/>
        <v>#N/A</v>
      </c>
      <c r="P173" s="722"/>
      <c r="Q173" s="724"/>
      <c r="R173" s="725"/>
      <c r="S173" s="721" t="e">
        <f t="shared" ca="1" si="1"/>
        <v>#N/A</v>
      </c>
      <c r="T173" s="722"/>
      <c r="AB173" s="107" t="e">
        <f t="shared" si="6"/>
        <v>#REF!</v>
      </c>
      <c r="AC173" s="107" t="e">
        <f>IF(AND(AB173&gt;=#REF!,AB173&lt;(#REF!+#REF!*$A$73)),#REF!,0)</f>
        <v>#REF!</v>
      </c>
      <c r="AD173" s="107" t="e">
        <f t="shared" si="7"/>
        <v>#REF!</v>
      </c>
      <c r="AE173" s="107" t="e">
        <f>IF(AND(AD173&gt;=#REF!,AD173&lt;(#REF!+#REF!*$A$79)),#REF!,0)</f>
        <v>#REF!</v>
      </c>
      <c r="AF173" s="107">
        <f t="shared" si="8"/>
        <v>285</v>
      </c>
      <c r="AG173" s="107">
        <f t="shared" si="2"/>
        <v>0</v>
      </c>
      <c r="AH173" s="107">
        <f t="shared" si="9"/>
        <v>5</v>
      </c>
      <c r="AI173" s="107">
        <f t="shared" si="3"/>
        <v>0</v>
      </c>
      <c r="AJ173" s="107">
        <v>24</v>
      </c>
      <c r="AK173" s="107" t="e">
        <f t="shared" si="4"/>
        <v>#N/A</v>
      </c>
      <c r="AL173" s="107">
        <v>24</v>
      </c>
      <c r="AM173" s="107">
        <f t="shared" si="0"/>
        <v>0</v>
      </c>
    </row>
    <row r="174" spans="6:39" ht="15" hidden="1" x14ac:dyDescent="0.2">
      <c r="F174" s="203">
        <v>24</v>
      </c>
      <c r="G174" s="726">
        <f t="shared" ca="1" si="10"/>
        <v>44510</v>
      </c>
      <c r="H174" s="727"/>
      <c r="I174" s="728"/>
      <c r="J174" s="721" t="e">
        <f ca="1">IF(F174&lt;=$AN$142,0,Apoio!E273)</f>
        <v>#N/A</v>
      </c>
      <c r="K174" s="723"/>
      <c r="L174" s="722"/>
      <c r="M174" s="721" t="e">
        <f t="shared" si="11"/>
        <v>#N/A</v>
      </c>
      <c r="N174" s="722"/>
      <c r="O174" s="721" t="e">
        <f t="shared" ca="1" si="5"/>
        <v>#N/A</v>
      </c>
      <c r="P174" s="722"/>
      <c r="Q174" s="724"/>
      <c r="R174" s="725"/>
      <c r="S174" s="721" t="e">
        <f t="shared" ca="1" si="1"/>
        <v>#N/A</v>
      </c>
      <c r="T174" s="722"/>
      <c r="AB174" s="107" t="e">
        <f t="shared" si="6"/>
        <v>#REF!</v>
      </c>
      <c r="AC174" s="107" t="e">
        <f>IF(AND(AB174&gt;=#REF!,AB174&lt;(#REF!+#REF!*$A$73)),#REF!,0)</f>
        <v>#REF!</v>
      </c>
      <c r="AD174" s="107" t="e">
        <f t="shared" si="7"/>
        <v>#REF!</v>
      </c>
      <c r="AE174" s="107" t="e">
        <f>IF(AND(AD174&gt;=#REF!,AD174&lt;(#REF!+#REF!*$A$79)),#REF!,0)</f>
        <v>#REF!</v>
      </c>
      <c r="AF174" s="107">
        <f t="shared" si="8"/>
        <v>297</v>
      </c>
      <c r="AG174" s="107">
        <f t="shared" si="2"/>
        <v>0</v>
      </c>
      <c r="AH174" s="107">
        <f t="shared" si="9"/>
        <v>5</v>
      </c>
      <c r="AI174" s="107">
        <f t="shared" si="3"/>
        <v>0</v>
      </c>
      <c r="AJ174" s="107">
        <v>25</v>
      </c>
      <c r="AK174" s="107" t="e">
        <f t="shared" si="4"/>
        <v>#N/A</v>
      </c>
      <c r="AL174" s="107">
        <v>25</v>
      </c>
      <c r="AM174" s="107">
        <f t="shared" si="0"/>
        <v>0</v>
      </c>
    </row>
    <row r="175" spans="6:39" ht="15" hidden="1" x14ac:dyDescent="0.2">
      <c r="F175" s="203">
        <v>25</v>
      </c>
      <c r="G175" s="726">
        <f t="shared" ca="1" si="10"/>
        <v>44540</v>
      </c>
      <c r="H175" s="727"/>
      <c r="I175" s="728"/>
      <c r="J175" s="721" t="e">
        <f ca="1">IF(F175&lt;=$AN$142,0,Apoio!E274)</f>
        <v>#N/A</v>
      </c>
      <c r="K175" s="723"/>
      <c r="L175" s="722"/>
      <c r="M175" s="721" t="e">
        <f t="shared" si="11"/>
        <v>#N/A</v>
      </c>
      <c r="N175" s="722"/>
      <c r="O175" s="721" t="e">
        <f t="shared" ca="1" si="5"/>
        <v>#N/A</v>
      </c>
      <c r="P175" s="722"/>
      <c r="Q175" s="724"/>
      <c r="R175" s="725"/>
      <c r="S175" s="721" t="e">
        <f t="shared" ca="1" si="1"/>
        <v>#N/A</v>
      </c>
      <c r="T175" s="722"/>
      <c r="AB175" s="107" t="e">
        <f t="shared" si="6"/>
        <v>#REF!</v>
      </c>
      <c r="AC175" s="107" t="e">
        <f>IF(AND(AB175&gt;=#REF!,AB175&lt;(#REF!+#REF!*$A$73)),#REF!,0)</f>
        <v>#REF!</v>
      </c>
      <c r="AD175" s="107" t="e">
        <f t="shared" si="7"/>
        <v>#REF!</v>
      </c>
      <c r="AE175" s="107" t="e">
        <f>IF(AND(AD175&gt;=#REF!,AD175&lt;(#REF!+#REF!*$A$79)),#REF!,0)</f>
        <v>#REF!</v>
      </c>
      <c r="AF175" s="107">
        <f t="shared" si="8"/>
        <v>309</v>
      </c>
      <c r="AG175" s="107">
        <f t="shared" si="2"/>
        <v>0</v>
      </c>
      <c r="AH175" s="107">
        <f t="shared" si="9"/>
        <v>5</v>
      </c>
      <c r="AI175" s="107">
        <f t="shared" si="3"/>
        <v>0</v>
      </c>
      <c r="AJ175" s="107">
        <v>26</v>
      </c>
      <c r="AK175" s="107" t="e">
        <f t="shared" si="4"/>
        <v>#N/A</v>
      </c>
      <c r="AL175" s="107">
        <v>26</v>
      </c>
      <c r="AM175" s="107">
        <f t="shared" si="0"/>
        <v>0</v>
      </c>
    </row>
    <row r="176" spans="6:39" ht="15" hidden="1" x14ac:dyDescent="0.2">
      <c r="F176" s="203">
        <v>26</v>
      </c>
      <c r="G176" s="726">
        <f t="shared" ca="1" si="10"/>
        <v>44571</v>
      </c>
      <c r="H176" s="727"/>
      <c r="I176" s="728"/>
      <c r="J176" s="721" t="e">
        <f ca="1">IF(F176&lt;=$AN$142,0,Apoio!E275)</f>
        <v>#N/A</v>
      </c>
      <c r="K176" s="723"/>
      <c r="L176" s="722"/>
      <c r="M176" s="721" t="e">
        <f t="shared" si="11"/>
        <v>#N/A</v>
      </c>
      <c r="N176" s="722"/>
      <c r="O176" s="721" t="e">
        <f t="shared" ca="1" si="5"/>
        <v>#N/A</v>
      </c>
      <c r="P176" s="722"/>
      <c r="Q176" s="724"/>
      <c r="R176" s="725"/>
      <c r="S176" s="721" t="e">
        <f t="shared" ca="1" si="1"/>
        <v>#N/A</v>
      </c>
      <c r="T176" s="722"/>
      <c r="AB176" s="107" t="e">
        <f t="shared" si="6"/>
        <v>#REF!</v>
      </c>
      <c r="AC176" s="107" t="e">
        <f>IF(AND(AB176&gt;=#REF!,AB176&lt;(#REF!+#REF!*$A$73)),#REF!,0)</f>
        <v>#REF!</v>
      </c>
      <c r="AD176" s="107" t="e">
        <f t="shared" si="7"/>
        <v>#REF!</v>
      </c>
      <c r="AE176" s="107" t="e">
        <f>IF(AND(AD176&gt;=#REF!,AD176&lt;(#REF!+#REF!*$A$79)),#REF!,0)</f>
        <v>#REF!</v>
      </c>
      <c r="AF176" s="107">
        <f t="shared" si="8"/>
        <v>321</v>
      </c>
      <c r="AG176" s="107">
        <f t="shared" si="2"/>
        <v>0</v>
      </c>
      <c r="AH176" s="107">
        <f t="shared" si="9"/>
        <v>5</v>
      </c>
      <c r="AI176" s="107">
        <f t="shared" si="3"/>
        <v>0</v>
      </c>
      <c r="AJ176" s="107">
        <v>27</v>
      </c>
      <c r="AK176" s="107" t="e">
        <f t="shared" si="4"/>
        <v>#N/A</v>
      </c>
      <c r="AL176" s="107">
        <v>27</v>
      </c>
      <c r="AM176" s="107">
        <f t="shared" si="0"/>
        <v>0</v>
      </c>
    </row>
    <row r="177" spans="6:39" ht="15" hidden="1" x14ac:dyDescent="0.2">
      <c r="F177" s="203">
        <v>27</v>
      </c>
      <c r="G177" s="726">
        <f t="shared" ca="1" si="10"/>
        <v>44602</v>
      </c>
      <c r="H177" s="727"/>
      <c r="I177" s="728"/>
      <c r="J177" s="721" t="e">
        <f ca="1">IF(F177&lt;=$AN$142,0,Apoio!E276)</f>
        <v>#N/A</v>
      </c>
      <c r="K177" s="723"/>
      <c r="L177" s="722"/>
      <c r="M177" s="721" t="e">
        <f t="shared" si="11"/>
        <v>#N/A</v>
      </c>
      <c r="N177" s="722"/>
      <c r="O177" s="721" t="e">
        <f t="shared" ca="1" si="5"/>
        <v>#N/A</v>
      </c>
      <c r="P177" s="722"/>
      <c r="Q177" s="724"/>
      <c r="R177" s="725"/>
      <c r="S177" s="721" t="e">
        <f t="shared" ca="1" si="1"/>
        <v>#N/A</v>
      </c>
      <c r="T177" s="722"/>
      <c r="AB177" s="107" t="e">
        <f t="shared" si="6"/>
        <v>#REF!</v>
      </c>
      <c r="AC177" s="107" t="e">
        <f>IF(AND(AB177&gt;=#REF!,AB177&lt;(#REF!+#REF!*$A$73)),#REF!,0)</f>
        <v>#REF!</v>
      </c>
      <c r="AD177" s="107" t="e">
        <f t="shared" si="7"/>
        <v>#REF!</v>
      </c>
      <c r="AE177" s="107" t="e">
        <f>IF(AND(AD177&gt;=#REF!,AD177&lt;(#REF!+#REF!*$A$79)),#REF!,0)</f>
        <v>#REF!</v>
      </c>
      <c r="AF177" s="107">
        <f t="shared" si="8"/>
        <v>333</v>
      </c>
      <c r="AG177" s="107">
        <f t="shared" si="2"/>
        <v>0</v>
      </c>
      <c r="AH177" s="107">
        <f t="shared" si="9"/>
        <v>5</v>
      </c>
      <c r="AI177" s="107">
        <f t="shared" si="3"/>
        <v>0</v>
      </c>
      <c r="AJ177" s="107">
        <v>28</v>
      </c>
      <c r="AK177" s="107" t="e">
        <f t="shared" si="4"/>
        <v>#N/A</v>
      </c>
      <c r="AL177" s="107">
        <v>28</v>
      </c>
      <c r="AM177" s="107">
        <f t="shared" si="0"/>
        <v>0</v>
      </c>
    </row>
    <row r="178" spans="6:39" ht="15" hidden="1" x14ac:dyDescent="0.2">
      <c r="F178" s="203">
        <v>28</v>
      </c>
      <c r="G178" s="726">
        <f t="shared" ca="1" si="10"/>
        <v>44630</v>
      </c>
      <c r="H178" s="727"/>
      <c r="I178" s="728"/>
      <c r="J178" s="721" t="e">
        <f ca="1">IF(F178&lt;=$AN$142,0,Apoio!E277)</f>
        <v>#N/A</v>
      </c>
      <c r="K178" s="723"/>
      <c r="L178" s="722"/>
      <c r="M178" s="721" t="e">
        <f t="shared" si="11"/>
        <v>#N/A</v>
      </c>
      <c r="N178" s="722"/>
      <c r="O178" s="721" t="e">
        <f t="shared" ca="1" si="5"/>
        <v>#N/A</v>
      </c>
      <c r="P178" s="722"/>
      <c r="Q178" s="724"/>
      <c r="R178" s="725"/>
      <c r="S178" s="721" t="e">
        <f t="shared" ca="1" si="1"/>
        <v>#N/A</v>
      </c>
      <c r="T178" s="722"/>
      <c r="AB178" s="107" t="e">
        <f t="shared" si="6"/>
        <v>#REF!</v>
      </c>
      <c r="AC178" s="107" t="e">
        <f>IF(AND(AB178&gt;=#REF!,AB178&lt;(#REF!+#REF!*$A$73)),#REF!,0)</f>
        <v>#REF!</v>
      </c>
      <c r="AD178" s="107" t="e">
        <f t="shared" si="7"/>
        <v>#REF!</v>
      </c>
      <c r="AE178" s="107" t="e">
        <f>IF(AND(AD178&gt;=#REF!,AD178&lt;(#REF!+#REF!*$A$79)),#REF!,0)</f>
        <v>#REF!</v>
      </c>
      <c r="AF178" s="107">
        <f t="shared" si="8"/>
        <v>345</v>
      </c>
      <c r="AG178" s="107">
        <f t="shared" si="2"/>
        <v>0</v>
      </c>
      <c r="AH178" s="107">
        <f t="shared" si="9"/>
        <v>5</v>
      </c>
      <c r="AI178" s="107">
        <f t="shared" si="3"/>
        <v>0</v>
      </c>
      <c r="AJ178" s="107">
        <v>29</v>
      </c>
      <c r="AK178" s="107" t="e">
        <f t="shared" si="4"/>
        <v>#N/A</v>
      </c>
      <c r="AL178" s="107">
        <v>29</v>
      </c>
      <c r="AM178" s="107">
        <f t="shared" si="0"/>
        <v>0</v>
      </c>
    </row>
    <row r="179" spans="6:39" ht="15" hidden="1" x14ac:dyDescent="0.2">
      <c r="F179" s="203">
        <v>29</v>
      </c>
      <c r="G179" s="726">
        <f t="shared" ca="1" si="10"/>
        <v>44661</v>
      </c>
      <c r="H179" s="727"/>
      <c r="I179" s="728"/>
      <c r="J179" s="721" t="e">
        <f ca="1">IF(F179&lt;=$AN$142,0,Apoio!E278)</f>
        <v>#N/A</v>
      </c>
      <c r="K179" s="723"/>
      <c r="L179" s="722"/>
      <c r="M179" s="721" t="e">
        <f t="shared" si="11"/>
        <v>#N/A</v>
      </c>
      <c r="N179" s="722"/>
      <c r="O179" s="721" t="e">
        <f t="shared" ca="1" si="5"/>
        <v>#N/A</v>
      </c>
      <c r="P179" s="722"/>
      <c r="Q179" s="724"/>
      <c r="R179" s="725"/>
      <c r="S179" s="721" t="e">
        <f t="shared" ca="1" si="1"/>
        <v>#N/A</v>
      </c>
      <c r="T179" s="722"/>
      <c r="AB179" s="107" t="e">
        <f t="shared" si="6"/>
        <v>#REF!</v>
      </c>
      <c r="AC179" s="107" t="e">
        <f>IF(AND(AB179&gt;=#REF!,AB179&lt;(#REF!+#REF!*$A$73)),#REF!,0)</f>
        <v>#REF!</v>
      </c>
      <c r="AD179" s="107" t="e">
        <f t="shared" si="7"/>
        <v>#REF!</v>
      </c>
      <c r="AE179" s="107" t="e">
        <f>IF(AND(AD179&gt;=#REF!,AD179&lt;(#REF!+#REF!*$A$79)),#REF!,0)</f>
        <v>#REF!</v>
      </c>
      <c r="AF179" s="107">
        <f t="shared" si="8"/>
        <v>357</v>
      </c>
      <c r="AG179" s="107">
        <f t="shared" si="2"/>
        <v>0</v>
      </c>
      <c r="AH179" s="107">
        <f t="shared" si="9"/>
        <v>5</v>
      </c>
      <c r="AI179" s="107">
        <f t="shared" si="3"/>
        <v>0</v>
      </c>
      <c r="AJ179" s="107">
        <v>30</v>
      </c>
      <c r="AK179" s="107" t="e">
        <f t="shared" si="4"/>
        <v>#N/A</v>
      </c>
      <c r="AL179" s="107">
        <v>30</v>
      </c>
      <c r="AM179" s="107">
        <f t="shared" si="0"/>
        <v>0</v>
      </c>
    </row>
    <row r="180" spans="6:39" ht="15" hidden="1" x14ac:dyDescent="0.2">
      <c r="F180" s="203">
        <v>30</v>
      </c>
      <c r="G180" s="726">
        <f t="shared" ca="1" si="10"/>
        <v>44691</v>
      </c>
      <c r="H180" s="727"/>
      <c r="I180" s="728"/>
      <c r="J180" s="721" t="e">
        <f ca="1">IF(F180&lt;=$AN$142,0,Apoio!E279)</f>
        <v>#N/A</v>
      </c>
      <c r="K180" s="723"/>
      <c r="L180" s="722"/>
      <c r="M180" s="721" t="e">
        <f t="shared" si="11"/>
        <v>#N/A</v>
      </c>
      <c r="N180" s="722"/>
      <c r="O180" s="721" t="e">
        <f t="shared" ca="1" si="5"/>
        <v>#N/A</v>
      </c>
      <c r="P180" s="722"/>
      <c r="Q180" s="724"/>
      <c r="R180" s="725"/>
      <c r="S180" s="721" t="e">
        <f t="shared" ca="1" si="1"/>
        <v>#N/A</v>
      </c>
      <c r="T180" s="722"/>
      <c r="AB180" s="107" t="e">
        <f t="shared" si="6"/>
        <v>#REF!</v>
      </c>
      <c r="AC180" s="107" t="e">
        <f>IF(AND(AB180&gt;=#REF!,AB180&lt;(#REF!+#REF!*$A$73)),#REF!,0)</f>
        <v>#REF!</v>
      </c>
      <c r="AD180" s="107" t="e">
        <f t="shared" si="7"/>
        <v>#REF!</v>
      </c>
      <c r="AE180" s="107" t="e">
        <f>IF(AND(AD180&gt;=#REF!,AD180&lt;(#REF!+#REF!*$A$79)),#REF!,0)</f>
        <v>#REF!</v>
      </c>
      <c r="AF180" s="107">
        <f t="shared" si="8"/>
        <v>369</v>
      </c>
      <c r="AG180" s="107">
        <f t="shared" si="2"/>
        <v>0</v>
      </c>
      <c r="AH180" s="107">
        <f t="shared" si="9"/>
        <v>5</v>
      </c>
      <c r="AI180" s="107">
        <f t="shared" si="3"/>
        <v>0</v>
      </c>
      <c r="AJ180" s="107">
        <v>31</v>
      </c>
      <c r="AK180" s="107" t="e">
        <f t="shared" si="4"/>
        <v>#N/A</v>
      </c>
      <c r="AL180" s="107">
        <v>31</v>
      </c>
      <c r="AM180" s="107">
        <f t="shared" si="0"/>
        <v>0</v>
      </c>
    </row>
    <row r="181" spans="6:39" ht="15" hidden="1" x14ac:dyDescent="0.2">
      <c r="F181" s="203">
        <v>31</v>
      </c>
      <c r="G181" s="726">
        <f t="shared" ca="1" si="10"/>
        <v>44722</v>
      </c>
      <c r="H181" s="727"/>
      <c r="I181" s="728"/>
      <c r="J181" s="721" t="e">
        <f ca="1">IF(F181&lt;=$AN$142,0,Apoio!E280)</f>
        <v>#N/A</v>
      </c>
      <c r="K181" s="723"/>
      <c r="L181" s="722"/>
      <c r="M181" s="721" t="e">
        <f t="shared" si="11"/>
        <v>#N/A</v>
      </c>
      <c r="N181" s="722"/>
      <c r="O181" s="721" t="e">
        <f t="shared" ca="1" si="5"/>
        <v>#N/A</v>
      </c>
      <c r="P181" s="722"/>
      <c r="Q181" s="724"/>
      <c r="R181" s="725"/>
      <c r="S181" s="721" t="e">
        <f t="shared" ca="1" si="1"/>
        <v>#N/A</v>
      </c>
      <c r="T181" s="722"/>
      <c r="AB181" s="107" t="e">
        <f t="shared" si="6"/>
        <v>#REF!</v>
      </c>
      <c r="AC181" s="107" t="e">
        <f>IF(AND(AB181&gt;=#REF!,AB181&lt;(#REF!+#REF!*$A$73)),#REF!,0)</f>
        <v>#REF!</v>
      </c>
      <c r="AD181" s="107" t="e">
        <f t="shared" si="7"/>
        <v>#REF!</v>
      </c>
      <c r="AE181" s="107" t="e">
        <f>IF(AND(AD181&gt;=#REF!,AD181&lt;(#REF!+#REF!*$A$79)),#REF!,0)</f>
        <v>#REF!</v>
      </c>
      <c r="AF181" s="107">
        <f t="shared" si="8"/>
        <v>381</v>
      </c>
      <c r="AG181" s="107">
        <f t="shared" si="2"/>
        <v>0</v>
      </c>
      <c r="AH181" s="107">
        <f t="shared" si="9"/>
        <v>5</v>
      </c>
      <c r="AI181" s="107">
        <f t="shared" si="3"/>
        <v>0</v>
      </c>
      <c r="AJ181" s="107">
        <v>32</v>
      </c>
      <c r="AK181" s="107" t="e">
        <f t="shared" si="4"/>
        <v>#N/A</v>
      </c>
      <c r="AL181" s="107">
        <v>32</v>
      </c>
      <c r="AM181" s="107">
        <f t="shared" si="0"/>
        <v>0</v>
      </c>
    </row>
    <row r="182" spans="6:39" ht="15" hidden="1" x14ac:dyDescent="0.2">
      <c r="F182" s="203">
        <v>32</v>
      </c>
      <c r="G182" s="726">
        <f t="shared" ca="1" si="10"/>
        <v>44752</v>
      </c>
      <c r="H182" s="727"/>
      <c r="I182" s="728"/>
      <c r="J182" s="721" t="e">
        <f ca="1">IF(F182&lt;=$AN$142,0,Apoio!E281)</f>
        <v>#N/A</v>
      </c>
      <c r="K182" s="723"/>
      <c r="L182" s="722"/>
      <c r="M182" s="721" t="e">
        <f t="shared" si="11"/>
        <v>#N/A</v>
      </c>
      <c r="N182" s="722"/>
      <c r="O182" s="721" t="e">
        <f t="shared" ca="1" si="5"/>
        <v>#N/A</v>
      </c>
      <c r="P182" s="722"/>
      <c r="Q182" s="724"/>
      <c r="R182" s="725"/>
      <c r="S182" s="721" t="e">
        <f t="shared" ca="1" si="1"/>
        <v>#N/A</v>
      </c>
      <c r="T182" s="722"/>
      <c r="AB182" s="107" t="e">
        <f t="shared" si="6"/>
        <v>#REF!</v>
      </c>
      <c r="AC182" s="107" t="e">
        <f>IF(AND(AB182&gt;=#REF!,AB182&lt;(#REF!+#REF!*$A$73)),#REF!,0)</f>
        <v>#REF!</v>
      </c>
      <c r="AD182" s="107" t="e">
        <f t="shared" si="7"/>
        <v>#REF!</v>
      </c>
      <c r="AE182" s="107" t="e">
        <f>IF(AND(AD182&gt;=#REF!,AD182&lt;(#REF!+#REF!*$A$79)),#REF!,0)</f>
        <v>#REF!</v>
      </c>
      <c r="AF182" s="107">
        <f t="shared" si="8"/>
        <v>393</v>
      </c>
      <c r="AG182" s="107">
        <f t="shared" si="2"/>
        <v>0</v>
      </c>
      <c r="AH182" s="107">
        <f t="shared" si="9"/>
        <v>5</v>
      </c>
      <c r="AI182" s="107">
        <f t="shared" si="3"/>
        <v>0</v>
      </c>
      <c r="AJ182" s="107">
        <v>33</v>
      </c>
      <c r="AK182" s="107" t="e">
        <f t="shared" si="4"/>
        <v>#N/A</v>
      </c>
      <c r="AL182" s="107">
        <v>33</v>
      </c>
      <c r="AM182" s="107">
        <f t="shared" si="0"/>
        <v>0</v>
      </c>
    </row>
    <row r="183" spans="6:39" ht="15" hidden="1" x14ac:dyDescent="0.2">
      <c r="F183" s="203">
        <v>33</v>
      </c>
      <c r="G183" s="726">
        <f t="shared" ca="1" si="10"/>
        <v>44783</v>
      </c>
      <c r="H183" s="727"/>
      <c r="I183" s="728"/>
      <c r="J183" s="721" t="e">
        <f ca="1">IF(F183&lt;=$AN$142,0,Apoio!E282)</f>
        <v>#N/A</v>
      </c>
      <c r="K183" s="723"/>
      <c r="L183" s="722"/>
      <c r="M183" s="721" t="e">
        <f t="shared" si="11"/>
        <v>#N/A</v>
      </c>
      <c r="N183" s="722"/>
      <c r="O183" s="721" t="e">
        <f t="shared" ca="1" si="5"/>
        <v>#N/A</v>
      </c>
      <c r="P183" s="722"/>
      <c r="Q183" s="724"/>
      <c r="R183" s="725"/>
      <c r="S183" s="721" t="e">
        <f t="shared" ca="1" si="1"/>
        <v>#N/A</v>
      </c>
      <c r="T183" s="722"/>
      <c r="AB183" s="107" t="e">
        <f t="shared" si="6"/>
        <v>#REF!</v>
      </c>
      <c r="AC183" s="107" t="e">
        <f>IF(AND(AB183&gt;=#REF!,AB183&lt;(#REF!+#REF!*$A$73)),#REF!,0)</f>
        <v>#REF!</v>
      </c>
      <c r="AD183" s="107" t="e">
        <f t="shared" si="7"/>
        <v>#REF!</v>
      </c>
      <c r="AE183" s="107" t="e">
        <f>IF(AND(AD183&gt;=#REF!,AD183&lt;(#REF!+#REF!*$A$79)),#REF!,0)</f>
        <v>#REF!</v>
      </c>
      <c r="AF183" s="107">
        <f t="shared" si="8"/>
        <v>405</v>
      </c>
      <c r="AG183" s="107">
        <f t="shared" si="2"/>
        <v>0</v>
      </c>
      <c r="AH183" s="107">
        <f t="shared" si="9"/>
        <v>5</v>
      </c>
      <c r="AI183" s="107">
        <f t="shared" si="3"/>
        <v>0</v>
      </c>
      <c r="AJ183" s="107">
        <v>34</v>
      </c>
      <c r="AK183" s="107" t="e">
        <f t="shared" si="4"/>
        <v>#N/A</v>
      </c>
      <c r="AL183" s="107">
        <v>34</v>
      </c>
      <c r="AM183" s="107">
        <f t="shared" si="0"/>
        <v>0</v>
      </c>
    </row>
    <row r="184" spans="6:39" ht="15" hidden="1" x14ac:dyDescent="0.2">
      <c r="F184" s="203">
        <v>34</v>
      </c>
      <c r="G184" s="726">
        <f t="shared" ca="1" si="10"/>
        <v>44814</v>
      </c>
      <c r="H184" s="727"/>
      <c r="I184" s="728"/>
      <c r="J184" s="721" t="e">
        <f ca="1">IF(F184&lt;=$AN$142,0,Apoio!E283)</f>
        <v>#N/A</v>
      </c>
      <c r="K184" s="723"/>
      <c r="L184" s="722"/>
      <c r="M184" s="721" t="e">
        <f t="shared" si="11"/>
        <v>#N/A</v>
      </c>
      <c r="N184" s="722"/>
      <c r="O184" s="721" t="e">
        <f t="shared" ca="1" si="5"/>
        <v>#N/A</v>
      </c>
      <c r="P184" s="722"/>
      <c r="Q184" s="724"/>
      <c r="R184" s="725"/>
      <c r="S184" s="721" t="e">
        <f t="shared" ca="1" si="1"/>
        <v>#N/A</v>
      </c>
      <c r="T184" s="722"/>
      <c r="AB184" s="107" t="e">
        <f t="shared" si="6"/>
        <v>#REF!</v>
      </c>
      <c r="AC184" s="107" t="e">
        <f>IF(AND(AB184&gt;=#REF!,AB184&lt;(#REF!+#REF!*$A$73)),#REF!,0)</f>
        <v>#REF!</v>
      </c>
      <c r="AD184" s="107" t="e">
        <f t="shared" si="7"/>
        <v>#REF!</v>
      </c>
      <c r="AE184" s="107" t="e">
        <f>IF(AND(AD184&gt;=#REF!,AD184&lt;(#REF!+#REF!*$A$79)),#REF!,0)</f>
        <v>#REF!</v>
      </c>
      <c r="AF184" s="107">
        <f t="shared" si="8"/>
        <v>417</v>
      </c>
      <c r="AG184" s="107">
        <f t="shared" si="2"/>
        <v>0</v>
      </c>
      <c r="AH184" s="107">
        <f t="shared" si="9"/>
        <v>5</v>
      </c>
      <c r="AI184" s="107">
        <f t="shared" si="3"/>
        <v>0</v>
      </c>
      <c r="AJ184" s="107">
        <v>35</v>
      </c>
      <c r="AK184" s="107" t="e">
        <f t="shared" si="4"/>
        <v>#N/A</v>
      </c>
      <c r="AL184" s="107">
        <v>35</v>
      </c>
      <c r="AM184" s="107">
        <f t="shared" si="0"/>
        <v>0</v>
      </c>
    </row>
    <row r="185" spans="6:39" ht="15" hidden="1" x14ac:dyDescent="0.2">
      <c r="F185" s="203">
        <v>35</v>
      </c>
      <c r="G185" s="726">
        <f t="shared" ca="1" si="10"/>
        <v>44844</v>
      </c>
      <c r="H185" s="727"/>
      <c r="I185" s="728"/>
      <c r="J185" s="721" t="e">
        <f ca="1">IF(F185&lt;=$AN$142,0,Apoio!E284)</f>
        <v>#N/A</v>
      </c>
      <c r="K185" s="723"/>
      <c r="L185" s="722"/>
      <c r="M185" s="721" t="e">
        <f t="shared" si="11"/>
        <v>#N/A</v>
      </c>
      <c r="N185" s="722"/>
      <c r="O185" s="721" t="e">
        <f t="shared" ca="1" si="5"/>
        <v>#N/A</v>
      </c>
      <c r="P185" s="722"/>
      <c r="Q185" s="724"/>
      <c r="R185" s="725"/>
      <c r="S185" s="721" t="e">
        <f t="shared" ca="1" si="1"/>
        <v>#N/A</v>
      </c>
      <c r="T185" s="722"/>
      <c r="AB185" s="107" t="e">
        <f t="shared" ref="AB185:AB190" si="12">AB184+$A$73</f>
        <v>#REF!</v>
      </c>
      <c r="AC185" s="107" t="e">
        <f>IF(AND(AB185&gt;=#REF!,AB185&lt;(#REF!+#REF!*$A$73)),#REF!,0)</f>
        <v>#REF!</v>
      </c>
      <c r="AD185" s="107" t="e">
        <f t="shared" ref="AD185:AD190" si="13">AD184+$A$79</f>
        <v>#REF!</v>
      </c>
      <c r="AE185" s="107" t="e">
        <f>IF(AND(AD185&gt;=#REF!,AD185&lt;(#REF!+#REF!*$A$79)),#REF!,0)</f>
        <v>#REF!</v>
      </c>
      <c r="AF185" s="107">
        <f t="shared" ref="AF185:AF190" si="14">AF184+$A$81</f>
        <v>429</v>
      </c>
      <c r="AG185" s="107">
        <f t="shared" si="2"/>
        <v>0</v>
      </c>
      <c r="AH185" s="107">
        <f t="shared" ref="AH185:AH190" si="15">AH184+$A$83</f>
        <v>5</v>
      </c>
      <c r="AI185" s="107">
        <f t="shared" si="3"/>
        <v>0</v>
      </c>
      <c r="AJ185" s="107">
        <v>36</v>
      </c>
      <c r="AK185" s="107" t="e">
        <f t="shared" si="4"/>
        <v>#N/A</v>
      </c>
      <c r="AL185" s="107">
        <v>36</v>
      </c>
      <c r="AM185" s="107">
        <f t="shared" si="0"/>
        <v>0</v>
      </c>
    </row>
    <row r="186" spans="6:39" ht="15" hidden="1" x14ac:dyDescent="0.2">
      <c r="F186" s="203">
        <v>36</v>
      </c>
      <c r="G186" s="726">
        <f t="shared" ca="1" si="10"/>
        <v>44875</v>
      </c>
      <c r="H186" s="727"/>
      <c r="I186" s="728"/>
      <c r="J186" s="721" t="e">
        <f ca="1">IF(F186&lt;=$AN$142,0,Apoio!E285)</f>
        <v>#N/A</v>
      </c>
      <c r="K186" s="723"/>
      <c r="L186" s="722"/>
      <c r="M186" s="721" t="e">
        <f t="shared" si="11"/>
        <v>#N/A</v>
      </c>
      <c r="N186" s="722"/>
      <c r="O186" s="721" t="e">
        <f t="shared" ca="1" si="5"/>
        <v>#N/A</v>
      </c>
      <c r="P186" s="722"/>
      <c r="Q186" s="724"/>
      <c r="R186" s="725"/>
      <c r="S186" s="721" t="e">
        <f t="shared" ca="1" si="1"/>
        <v>#N/A</v>
      </c>
      <c r="T186" s="722"/>
      <c r="AB186" s="107" t="e">
        <f t="shared" si="12"/>
        <v>#REF!</v>
      </c>
      <c r="AC186" s="107" t="e">
        <f>IF(AND(AB186&gt;=#REF!,AB186&lt;(#REF!+#REF!*$A$73)),#REF!,0)</f>
        <v>#REF!</v>
      </c>
      <c r="AD186" s="107" t="e">
        <f t="shared" si="13"/>
        <v>#REF!</v>
      </c>
      <c r="AE186" s="107" t="e">
        <f>IF(AND(AD186&gt;=#REF!,AD186&lt;(#REF!+#REF!*$A$79)),#REF!,0)</f>
        <v>#REF!</v>
      </c>
      <c r="AF186" s="107">
        <f t="shared" si="14"/>
        <v>441</v>
      </c>
      <c r="AG186" s="107">
        <f t="shared" si="2"/>
        <v>0</v>
      </c>
      <c r="AH186" s="107">
        <f t="shared" si="15"/>
        <v>5</v>
      </c>
      <c r="AI186" s="107">
        <f t="shared" si="3"/>
        <v>0</v>
      </c>
      <c r="AJ186" s="107">
        <v>37</v>
      </c>
      <c r="AK186" s="107" t="e">
        <f t="shared" si="4"/>
        <v>#N/A</v>
      </c>
      <c r="AL186" s="107">
        <v>37</v>
      </c>
      <c r="AM186" s="107">
        <f t="shared" si="0"/>
        <v>100</v>
      </c>
    </row>
    <row r="187" spans="6:39" ht="15" hidden="1" x14ac:dyDescent="0.2">
      <c r="F187" s="203">
        <v>37</v>
      </c>
      <c r="G187" s="726">
        <f t="shared" ca="1" si="10"/>
        <v>44905</v>
      </c>
      <c r="H187" s="727"/>
      <c r="I187" s="728"/>
      <c r="J187" s="721" t="e">
        <f ca="1">IF(F187&lt;=$AN$142,0,Apoio!E286)</f>
        <v>#N/A</v>
      </c>
      <c r="K187" s="723"/>
      <c r="L187" s="722"/>
      <c r="M187" s="721" t="e">
        <f t="shared" si="11"/>
        <v>#N/A</v>
      </c>
      <c r="N187" s="722"/>
      <c r="O187" s="721" t="e">
        <f t="shared" ca="1" si="5"/>
        <v>#N/A</v>
      </c>
      <c r="P187" s="722"/>
      <c r="Q187" s="724"/>
      <c r="R187" s="725"/>
      <c r="S187" s="721" t="e">
        <f t="shared" ca="1" si="1"/>
        <v>#N/A</v>
      </c>
      <c r="T187" s="722"/>
      <c r="AB187" s="107" t="e">
        <f t="shared" si="12"/>
        <v>#REF!</v>
      </c>
      <c r="AC187" s="107" t="e">
        <f>IF(AND(AB187&gt;=#REF!,AB187&lt;(#REF!+#REF!*$A$73)),#REF!,0)</f>
        <v>#REF!</v>
      </c>
      <c r="AD187" s="107" t="e">
        <f t="shared" si="13"/>
        <v>#REF!</v>
      </c>
      <c r="AE187" s="107" t="e">
        <f>IF(AND(AD187&gt;=#REF!,AD187&lt;(#REF!+#REF!*$A$79)),#REF!,0)</f>
        <v>#REF!</v>
      </c>
      <c r="AF187" s="107">
        <f t="shared" si="14"/>
        <v>453</v>
      </c>
      <c r="AG187" s="107">
        <f t="shared" si="2"/>
        <v>0</v>
      </c>
      <c r="AH187" s="107">
        <f t="shared" si="15"/>
        <v>5</v>
      </c>
      <c r="AI187" s="107">
        <f t="shared" si="3"/>
        <v>0</v>
      </c>
      <c r="AJ187" s="107">
        <v>38</v>
      </c>
      <c r="AK187" s="107" t="e">
        <f t="shared" si="4"/>
        <v>#N/A</v>
      </c>
      <c r="AL187" s="107">
        <v>38</v>
      </c>
      <c r="AM187" s="107">
        <f t="shared" si="0"/>
        <v>0</v>
      </c>
    </row>
    <row r="188" spans="6:39" ht="15" hidden="1" x14ac:dyDescent="0.2">
      <c r="F188" s="203">
        <v>38</v>
      </c>
      <c r="G188" s="726">
        <f t="shared" ca="1" si="10"/>
        <v>44936</v>
      </c>
      <c r="H188" s="727"/>
      <c r="I188" s="728"/>
      <c r="J188" s="721" t="e">
        <f ca="1">IF(F188&lt;=$AN$142,0,Apoio!E287)</f>
        <v>#N/A</v>
      </c>
      <c r="K188" s="723"/>
      <c r="L188" s="722"/>
      <c r="M188" s="721" t="e">
        <f t="shared" si="11"/>
        <v>#N/A</v>
      </c>
      <c r="N188" s="722"/>
      <c r="O188" s="721" t="e">
        <f t="shared" ca="1" si="5"/>
        <v>#N/A</v>
      </c>
      <c r="P188" s="722"/>
      <c r="Q188" s="724"/>
      <c r="R188" s="725"/>
      <c r="S188" s="721" t="e">
        <f t="shared" ca="1" si="1"/>
        <v>#N/A</v>
      </c>
      <c r="T188" s="722"/>
      <c r="AB188" s="107" t="e">
        <f t="shared" si="12"/>
        <v>#REF!</v>
      </c>
      <c r="AC188" s="107" t="e">
        <f>IF(AND(AB188&gt;=#REF!,AB188&lt;(#REF!+#REF!*$A$73)),#REF!,0)</f>
        <v>#REF!</v>
      </c>
      <c r="AD188" s="107" t="e">
        <f t="shared" si="13"/>
        <v>#REF!</v>
      </c>
      <c r="AE188" s="107" t="e">
        <f>IF(AND(AD188&gt;=#REF!,AD188&lt;(#REF!+#REF!*$A$79)),#REF!,0)</f>
        <v>#REF!</v>
      </c>
      <c r="AF188" s="107">
        <f t="shared" si="14"/>
        <v>465</v>
      </c>
      <c r="AG188" s="107">
        <f t="shared" si="2"/>
        <v>0</v>
      </c>
      <c r="AH188" s="107">
        <f t="shared" si="15"/>
        <v>5</v>
      </c>
      <c r="AI188" s="107">
        <f t="shared" si="3"/>
        <v>0</v>
      </c>
      <c r="AJ188" s="107">
        <v>39</v>
      </c>
      <c r="AK188" s="107" t="e">
        <f t="shared" si="4"/>
        <v>#N/A</v>
      </c>
      <c r="AL188" s="107">
        <v>39</v>
      </c>
      <c r="AM188" s="107">
        <f t="shared" si="0"/>
        <v>0</v>
      </c>
    </row>
    <row r="189" spans="6:39" ht="15" hidden="1" x14ac:dyDescent="0.2">
      <c r="F189" s="203">
        <v>39</v>
      </c>
      <c r="G189" s="726">
        <f t="shared" ca="1" si="10"/>
        <v>44967</v>
      </c>
      <c r="H189" s="727"/>
      <c r="I189" s="728"/>
      <c r="J189" s="721" t="e">
        <f ca="1">IF(F189&lt;=$AN$142,0,Apoio!E288)</f>
        <v>#N/A</v>
      </c>
      <c r="K189" s="723"/>
      <c r="L189" s="722"/>
      <c r="M189" s="721" t="e">
        <f t="shared" si="11"/>
        <v>#N/A</v>
      </c>
      <c r="N189" s="722"/>
      <c r="O189" s="721" t="e">
        <f t="shared" ca="1" si="5"/>
        <v>#N/A</v>
      </c>
      <c r="P189" s="722"/>
      <c r="Q189" s="724"/>
      <c r="R189" s="725"/>
      <c r="S189" s="721">
        <f t="shared" si="1"/>
        <v>0</v>
      </c>
      <c r="T189" s="722"/>
      <c r="AB189" s="107" t="e">
        <f t="shared" si="12"/>
        <v>#REF!</v>
      </c>
      <c r="AC189" s="107" t="e">
        <f>IF(AND(AB189&gt;=#REF!,AB189&lt;(#REF!+#REF!*$A$73)),#REF!,0)</f>
        <v>#REF!</v>
      </c>
      <c r="AD189" s="107" t="e">
        <f t="shared" si="13"/>
        <v>#REF!</v>
      </c>
      <c r="AE189" s="107" t="e">
        <f>IF(AND(AD189&gt;=#REF!,AD189&lt;(#REF!+#REF!*$A$79)),#REF!,0)</f>
        <v>#REF!</v>
      </c>
      <c r="AF189" s="107">
        <f t="shared" si="14"/>
        <v>477</v>
      </c>
      <c r="AG189" s="107">
        <f t="shared" si="2"/>
        <v>0</v>
      </c>
      <c r="AH189" s="107">
        <f t="shared" si="15"/>
        <v>5</v>
      </c>
      <c r="AI189" s="107">
        <f t="shared" si="3"/>
        <v>0</v>
      </c>
      <c r="AJ189" s="107">
        <v>40</v>
      </c>
      <c r="AK189" s="107" t="e">
        <f t="shared" si="4"/>
        <v>#N/A</v>
      </c>
      <c r="AL189" s="107">
        <v>40</v>
      </c>
      <c r="AM189" s="107">
        <f t="shared" si="0"/>
        <v>0</v>
      </c>
    </row>
    <row r="190" spans="6:39" ht="15" hidden="1" x14ac:dyDescent="0.2">
      <c r="F190" s="203">
        <v>40</v>
      </c>
      <c r="G190" s="726">
        <f t="shared" ca="1" si="10"/>
        <v>44995</v>
      </c>
      <c r="H190" s="727"/>
      <c r="I190" s="728"/>
      <c r="J190" s="721" t="e">
        <f ca="1">IF(F190&lt;=$AN$142,0,Apoio!E289)</f>
        <v>#N/A</v>
      </c>
      <c r="K190" s="723"/>
      <c r="L190" s="722"/>
      <c r="M190" s="721" t="e">
        <f t="shared" si="11"/>
        <v>#N/A</v>
      </c>
      <c r="N190" s="722"/>
      <c r="O190" s="721" t="e">
        <f t="shared" ca="1" si="5"/>
        <v>#N/A</v>
      </c>
      <c r="P190" s="722"/>
      <c r="Q190" s="724"/>
      <c r="R190" s="725"/>
      <c r="S190" s="721">
        <f t="shared" si="1"/>
        <v>0</v>
      </c>
      <c r="T190" s="722"/>
      <c r="AB190" s="107" t="e">
        <f t="shared" si="12"/>
        <v>#REF!</v>
      </c>
      <c r="AC190" s="107" t="e">
        <f>IF(AND(AB190&gt;=#REF!,AB190&lt;(#REF!+#REF!*$A$73)),#REF!,0)</f>
        <v>#REF!</v>
      </c>
      <c r="AD190" s="107" t="e">
        <f t="shared" si="13"/>
        <v>#REF!</v>
      </c>
      <c r="AE190" s="107" t="e">
        <f>IF(AND(AD190&gt;=#REF!,AD190&lt;(#REF!+#REF!*$A$79)),#REF!,0)</f>
        <v>#REF!</v>
      </c>
      <c r="AF190" s="107">
        <f t="shared" si="14"/>
        <v>489</v>
      </c>
      <c r="AG190" s="107">
        <f t="shared" si="2"/>
        <v>0</v>
      </c>
      <c r="AH190" s="107">
        <f t="shared" si="15"/>
        <v>5</v>
      </c>
      <c r="AI190" s="107">
        <f t="shared" si="3"/>
        <v>0</v>
      </c>
      <c r="AJ190" s="107">
        <v>41</v>
      </c>
      <c r="AK190" s="107" t="e">
        <f t="shared" si="4"/>
        <v>#N/A</v>
      </c>
      <c r="AL190" s="107">
        <v>41</v>
      </c>
      <c r="AM190" s="107">
        <f t="shared" si="0"/>
        <v>0</v>
      </c>
    </row>
    <row r="191" spans="6:39" ht="20.25" hidden="1" x14ac:dyDescent="0.2">
      <c r="O191" s="755"/>
      <c r="P191" s="755"/>
      <c r="Q191" s="110"/>
      <c r="R191" s="110"/>
      <c r="AB191" s="107">
        <v>1</v>
      </c>
      <c r="AC191" s="107">
        <v>0</v>
      </c>
      <c r="AD191" s="107">
        <v>1</v>
      </c>
      <c r="AE191" s="107">
        <v>0</v>
      </c>
      <c r="AF191" s="107">
        <v>1</v>
      </c>
      <c r="AG191" s="107">
        <v>0</v>
      </c>
      <c r="AH191" s="107">
        <v>1</v>
      </c>
      <c r="AI191" s="107">
        <v>0</v>
      </c>
      <c r="AJ191" s="107">
        <v>1</v>
      </c>
      <c r="AK191" s="107">
        <v>0</v>
      </c>
      <c r="AL191" s="107">
        <v>1</v>
      </c>
      <c r="AM191" s="107">
        <v>0</v>
      </c>
    </row>
    <row r="192" spans="6:39" ht="20.25" hidden="1" x14ac:dyDescent="0.2">
      <c r="O192" s="754"/>
      <c r="P192" s="754"/>
      <c r="Q192" s="110"/>
      <c r="R192" s="110"/>
      <c r="AB192" s="107">
        <v>2</v>
      </c>
      <c r="AC192" s="107">
        <v>0</v>
      </c>
      <c r="AD192" s="107">
        <v>2</v>
      </c>
      <c r="AE192" s="107">
        <v>0</v>
      </c>
      <c r="AF192" s="107">
        <v>2</v>
      </c>
      <c r="AG192" s="107">
        <v>0</v>
      </c>
      <c r="AH192" s="107">
        <v>2</v>
      </c>
      <c r="AI192" s="107">
        <v>0</v>
      </c>
      <c r="AJ192" s="107">
        <v>2</v>
      </c>
      <c r="AK192" s="107">
        <v>0</v>
      </c>
      <c r="AL192" s="107">
        <v>2</v>
      </c>
      <c r="AM192" s="107">
        <v>0</v>
      </c>
    </row>
    <row r="193" spans="15:39" ht="20.25" hidden="1" x14ac:dyDescent="0.2">
      <c r="O193" s="754"/>
      <c r="P193" s="754"/>
      <c r="Q193" s="110"/>
      <c r="R193" s="110"/>
      <c r="AB193" s="107">
        <v>3</v>
      </c>
      <c r="AC193" s="107">
        <v>0</v>
      </c>
      <c r="AD193" s="107">
        <v>3</v>
      </c>
      <c r="AE193" s="107">
        <v>0</v>
      </c>
      <c r="AF193" s="107">
        <v>3</v>
      </c>
      <c r="AG193" s="107">
        <v>0</v>
      </c>
      <c r="AH193" s="107">
        <v>3</v>
      </c>
      <c r="AI193" s="107">
        <v>0</v>
      </c>
      <c r="AJ193" s="107">
        <v>3</v>
      </c>
      <c r="AK193" s="107">
        <v>0</v>
      </c>
      <c r="AL193" s="107">
        <v>3</v>
      </c>
      <c r="AM193" s="107">
        <v>0</v>
      </c>
    </row>
    <row r="194" spans="15:39" ht="20.25" hidden="1" x14ac:dyDescent="0.2">
      <c r="O194" s="754"/>
      <c r="P194" s="754"/>
      <c r="AB194" s="107">
        <v>4</v>
      </c>
      <c r="AC194" s="107">
        <v>0</v>
      </c>
      <c r="AD194" s="107">
        <v>4</v>
      </c>
      <c r="AE194" s="107">
        <v>0</v>
      </c>
      <c r="AF194" s="107">
        <v>4</v>
      </c>
      <c r="AG194" s="107">
        <v>0</v>
      </c>
      <c r="AH194" s="107">
        <v>4</v>
      </c>
      <c r="AI194" s="107">
        <v>0</v>
      </c>
      <c r="AJ194" s="107">
        <v>4</v>
      </c>
      <c r="AK194" s="107">
        <v>0</v>
      </c>
      <c r="AL194" s="107">
        <v>4</v>
      </c>
      <c r="AM194" s="107">
        <v>0</v>
      </c>
    </row>
    <row r="195" spans="15:39" ht="20.25" hidden="1" x14ac:dyDescent="0.2">
      <c r="O195" s="754"/>
      <c r="P195" s="754"/>
      <c r="AB195" s="107">
        <v>5</v>
      </c>
      <c r="AC195" s="107">
        <v>0</v>
      </c>
      <c r="AD195" s="107">
        <v>5</v>
      </c>
      <c r="AE195" s="107">
        <v>0</v>
      </c>
      <c r="AF195" s="107">
        <v>5</v>
      </c>
      <c r="AG195" s="107">
        <v>0</v>
      </c>
      <c r="AH195" s="107">
        <v>5</v>
      </c>
      <c r="AI195" s="107">
        <v>0</v>
      </c>
      <c r="AJ195" s="107">
        <v>5</v>
      </c>
      <c r="AK195" s="107">
        <v>0</v>
      </c>
      <c r="AL195" s="107">
        <v>5</v>
      </c>
      <c r="AM195" s="107">
        <v>0</v>
      </c>
    </row>
    <row r="196" spans="15:39" ht="20.25" hidden="1" x14ac:dyDescent="0.2">
      <c r="O196" s="754"/>
      <c r="P196" s="754"/>
      <c r="AB196" s="107">
        <v>6</v>
      </c>
      <c r="AC196" s="107">
        <v>0</v>
      </c>
      <c r="AD196" s="107">
        <v>6</v>
      </c>
      <c r="AE196" s="107">
        <v>0</v>
      </c>
      <c r="AF196" s="107">
        <v>6</v>
      </c>
      <c r="AG196" s="107">
        <v>0</v>
      </c>
      <c r="AH196" s="107">
        <v>6</v>
      </c>
      <c r="AI196" s="107">
        <v>0</v>
      </c>
      <c r="AJ196" s="107">
        <v>6</v>
      </c>
      <c r="AK196" s="107">
        <v>0</v>
      </c>
      <c r="AL196" s="107">
        <v>6</v>
      </c>
      <c r="AM196" s="107">
        <v>0</v>
      </c>
    </row>
    <row r="197" spans="15:39" ht="20.25" hidden="1" x14ac:dyDescent="0.2">
      <c r="O197" s="754"/>
      <c r="P197" s="754"/>
      <c r="AB197" s="107">
        <v>7</v>
      </c>
      <c r="AC197" s="107">
        <v>0</v>
      </c>
      <c r="AD197" s="107">
        <v>7</v>
      </c>
      <c r="AE197" s="107">
        <v>0</v>
      </c>
      <c r="AF197" s="107">
        <v>7</v>
      </c>
      <c r="AG197" s="107">
        <v>0</v>
      </c>
      <c r="AH197" s="107">
        <v>7</v>
      </c>
      <c r="AI197" s="107">
        <v>0</v>
      </c>
      <c r="AJ197" s="107">
        <v>7</v>
      </c>
      <c r="AK197" s="107">
        <v>0</v>
      </c>
      <c r="AL197" s="107">
        <v>7</v>
      </c>
      <c r="AM197" s="107">
        <v>0</v>
      </c>
    </row>
    <row r="198" spans="15:39" ht="20.25" hidden="1" x14ac:dyDescent="0.2">
      <c r="O198" s="754"/>
      <c r="P198" s="754"/>
      <c r="AB198" s="107">
        <v>8</v>
      </c>
      <c r="AC198" s="107">
        <v>0</v>
      </c>
      <c r="AD198" s="107">
        <v>8</v>
      </c>
      <c r="AE198" s="107">
        <v>0</v>
      </c>
      <c r="AF198" s="107">
        <v>8</v>
      </c>
      <c r="AG198" s="107">
        <v>0</v>
      </c>
      <c r="AH198" s="107">
        <v>8</v>
      </c>
      <c r="AI198" s="107">
        <v>0</v>
      </c>
      <c r="AJ198" s="107">
        <v>8</v>
      </c>
      <c r="AK198" s="107">
        <v>0</v>
      </c>
      <c r="AL198" s="107">
        <v>8</v>
      </c>
      <c r="AM198" s="107">
        <v>0</v>
      </c>
    </row>
    <row r="199" spans="15:39" ht="20.25" hidden="1" x14ac:dyDescent="0.2">
      <c r="O199" s="754"/>
      <c r="P199" s="754"/>
      <c r="AB199" s="107">
        <v>9</v>
      </c>
      <c r="AC199" s="107">
        <v>0</v>
      </c>
      <c r="AD199" s="107">
        <v>9</v>
      </c>
      <c r="AE199" s="107">
        <v>0</v>
      </c>
      <c r="AF199" s="107">
        <v>9</v>
      </c>
      <c r="AG199" s="107">
        <v>0</v>
      </c>
      <c r="AH199" s="107">
        <v>9</v>
      </c>
      <c r="AI199" s="107">
        <v>0</v>
      </c>
      <c r="AJ199" s="107">
        <v>9</v>
      </c>
      <c r="AK199" s="107">
        <v>0</v>
      </c>
      <c r="AL199" s="107">
        <v>9</v>
      </c>
      <c r="AM199" s="107">
        <v>0</v>
      </c>
    </row>
    <row r="200" spans="15:39" ht="20.25" hidden="1" x14ac:dyDescent="0.2">
      <c r="O200" s="754"/>
      <c r="P200" s="754"/>
      <c r="AB200" s="107">
        <v>10</v>
      </c>
      <c r="AC200" s="107">
        <v>0</v>
      </c>
      <c r="AD200" s="107">
        <v>10</v>
      </c>
      <c r="AE200" s="107">
        <v>0</v>
      </c>
      <c r="AF200" s="107">
        <v>10</v>
      </c>
      <c r="AG200" s="107">
        <v>0</v>
      </c>
      <c r="AH200" s="107">
        <v>10</v>
      </c>
      <c r="AI200" s="107">
        <v>0</v>
      </c>
      <c r="AJ200" s="107">
        <v>10</v>
      </c>
      <c r="AK200" s="107">
        <v>0</v>
      </c>
      <c r="AL200" s="107">
        <v>10</v>
      </c>
      <c r="AM200" s="107">
        <v>0</v>
      </c>
    </row>
    <row r="201" spans="15:39" ht="20.25" hidden="1" x14ac:dyDescent="0.2">
      <c r="O201" s="754"/>
      <c r="P201" s="754"/>
      <c r="AB201" s="107">
        <v>11</v>
      </c>
      <c r="AC201" s="107">
        <v>0</v>
      </c>
      <c r="AD201" s="107">
        <v>11</v>
      </c>
      <c r="AE201" s="107">
        <v>0</v>
      </c>
      <c r="AF201" s="107">
        <v>11</v>
      </c>
      <c r="AG201" s="107">
        <v>0</v>
      </c>
      <c r="AH201" s="107">
        <v>11</v>
      </c>
      <c r="AI201" s="107">
        <v>0</v>
      </c>
      <c r="AJ201" s="107">
        <v>11</v>
      </c>
      <c r="AK201" s="107">
        <v>0</v>
      </c>
      <c r="AL201" s="107">
        <v>11</v>
      </c>
      <c r="AM201" s="107">
        <v>0</v>
      </c>
    </row>
    <row r="202" spans="15:39" ht="20.25" hidden="1" x14ac:dyDescent="0.2">
      <c r="O202" s="754"/>
      <c r="P202" s="754"/>
      <c r="AB202" s="107">
        <v>12</v>
      </c>
      <c r="AC202" s="107">
        <v>0</v>
      </c>
      <c r="AD202" s="107">
        <v>12</v>
      </c>
      <c r="AE202" s="107">
        <v>0</v>
      </c>
      <c r="AF202" s="107">
        <v>12</v>
      </c>
      <c r="AG202" s="107">
        <v>0</v>
      </c>
      <c r="AH202" s="107">
        <v>12</v>
      </c>
      <c r="AI202" s="107">
        <v>0</v>
      </c>
      <c r="AJ202" s="107">
        <v>12</v>
      </c>
      <c r="AK202" s="107">
        <v>0</v>
      </c>
      <c r="AL202" s="107">
        <v>12</v>
      </c>
      <c r="AM202" s="107">
        <v>0</v>
      </c>
    </row>
    <row r="203" spans="15:39" ht="20.25" hidden="1" x14ac:dyDescent="0.2">
      <c r="O203" s="754"/>
      <c r="P203" s="754"/>
      <c r="AB203" s="107">
        <v>13</v>
      </c>
      <c r="AC203" s="107">
        <v>0</v>
      </c>
      <c r="AD203" s="107">
        <v>13</v>
      </c>
      <c r="AE203" s="107">
        <v>0</v>
      </c>
      <c r="AF203" s="107">
        <v>13</v>
      </c>
      <c r="AG203" s="107">
        <v>0</v>
      </c>
      <c r="AH203" s="107">
        <v>13</v>
      </c>
      <c r="AI203" s="107">
        <v>0</v>
      </c>
      <c r="AJ203" s="107">
        <v>13</v>
      </c>
      <c r="AK203" s="107">
        <v>0</v>
      </c>
      <c r="AL203" s="107">
        <v>13</v>
      </c>
      <c r="AM203" s="107">
        <v>0</v>
      </c>
    </row>
    <row r="204" spans="15:39" hidden="1" x14ac:dyDescent="0.2">
      <c r="AB204" s="107">
        <v>14</v>
      </c>
      <c r="AC204" s="107">
        <v>0</v>
      </c>
      <c r="AD204" s="107">
        <v>14</v>
      </c>
      <c r="AE204" s="107">
        <v>0</v>
      </c>
      <c r="AF204" s="107">
        <v>14</v>
      </c>
      <c r="AG204" s="107">
        <v>0</v>
      </c>
      <c r="AH204" s="107">
        <v>14</v>
      </c>
      <c r="AI204" s="107">
        <v>0</v>
      </c>
      <c r="AJ204" s="107">
        <v>14</v>
      </c>
      <c r="AK204" s="107">
        <v>0</v>
      </c>
      <c r="AL204" s="107">
        <v>14</v>
      </c>
      <c r="AM204" s="107">
        <v>0</v>
      </c>
    </row>
    <row r="205" spans="15:39" hidden="1" x14ac:dyDescent="0.2">
      <c r="AB205" s="107">
        <v>15</v>
      </c>
      <c r="AC205" s="107">
        <v>0</v>
      </c>
      <c r="AD205" s="107">
        <v>15</v>
      </c>
      <c r="AE205" s="107">
        <v>0</v>
      </c>
      <c r="AF205" s="107">
        <v>15</v>
      </c>
      <c r="AG205" s="107">
        <v>0</v>
      </c>
      <c r="AH205" s="107">
        <v>15</v>
      </c>
      <c r="AI205" s="107">
        <v>0</v>
      </c>
      <c r="AJ205" s="107">
        <v>15</v>
      </c>
      <c r="AK205" s="107">
        <v>0</v>
      </c>
      <c r="AL205" s="107">
        <v>15</v>
      </c>
      <c r="AM205" s="107">
        <v>0</v>
      </c>
    </row>
    <row r="206" spans="15:39" hidden="1" x14ac:dyDescent="0.2">
      <c r="AB206" s="107">
        <v>16</v>
      </c>
      <c r="AC206" s="107">
        <v>0</v>
      </c>
      <c r="AD206" s="107">
        <v>16</v>
      </c>
      <c r="AE206" s="107">
        <v>0</v>
      </c>
      <c r="AF206" s="107">
        <v>16</v>
      </c>
      <c r="AG206" s="107">
        <v>0</v>
      </c>
      <c r="AH206" s="107">
        <v>16</v>
      </c>
      <c r="AI206" s="107">
        <v>0</v>
      </c>
      <c r="AJ206" s="107">
        <v>16</v>
      </c>
      <c r="AK206" s="107">
        <v>0</v>
      </c>
      <c r="AL206" s="107">
        <v>16</v>
      </c>
      <c r="AM206" s="107">
        <v>0</v>
      </c>
    </row>
    <row r="207" spans="15:39" hidden="1" x14ac:dyDescent="0.2">
      <c r="AB207" s="107">
        <v>17</v>
      </c>
      <c r="AC207" s="107">
        <v>0</v>
      </c>
      <c r="AD207" s="107">
        <v>17</v>
      </c>
      <c r="AE207" s="107">
        <v>0</v>
      </c>
      <c r="AF207" s="107">
        <v>17</v>
      </c>
      <c r="AG207" s="107">
        <v>0</v>
      </c>
      <c r="AH207" s="107">
        <v>17</v>
      </c>
      <c r="AI207" s="107">
        <v>0</v>
      </c>
      <c r="AJ207" s="107">
        <v>17</v>
      </c>
      <c r="AK207" s="107">
        <v>0</v>
      </c>
      <c r="AL207" s="107">
        <v>17</v>
      </c>
      <c r="AM207" s="107">
        <v>0</v>
      </c>
    </row>
    <row r="208" spans="15:39" hidden="1" x14ac:dyDescent="0.2">
      <c r="AB208" s="107">
        <v>18</v>
      </c>
      <c r="AC208" s="107">
        <v>0</v>
      </c>
      <c r="AD208" s="107">
        <v>18</v>
      </c>
      <c r="AE208" s="107">
        <v>0</v>
      </c>
      <c r="AF208" s="107">
        <v>18</v>
      </c>
      <c r="AG208" s="107">
        <v>0</v>
      </c>
      <c r="AH208" s="107">
        <v>18</v>
      </c>
      <c r="AI208" s="107">
        <v>0</v>
      </c>
      <c r="AJ208" s="107">
        <v>18</v>
      </c>
      <c r="AK208" s="107">
        <v>0</v>
      </c>
      <c r="AL208" s="107">
        <v>18</v>
      </c>
      <c r="AM208" s="107">
        <v>0</v>
      </c>
    </row>
    <row r="209" spans="28:39" hidden="1" x14ac:dyDescent="0.2">
      <c r="AB209" s="107">
        <v>19</v>
      </c>
      <c r="AC209" s="107">
        <v>0</v>
      </c>
      <c r="AD209" s="107">
        <v>19</v>
      </c>
      <c r="AE209" s="107">
        <v>0</v>
      </c>
      <c r="AF209" s="107">
        <v>19</v>
      </c>
      <c r="AG209" s="107">
        <v>0</v>
      </c>
      <c r="AH209" s="107">
        <v>19</v>
      </c>
      <c r="AI209" s="107">
        <v>0</v>
      </c>
      <c r="AJ209" s="107">
        <v>19</v>
      </c>
      <c r="AK209" s="107">
        <v>0</v>
      </c>
      <c r="AL209" s="107">
        <v>19</v>
      </c>
      <c r="AM209" s="107">
        <v>0</v>
      </c>
    </row>
    <row r="210" spans="28:39" hidden="1" x14ac:dyDescent="0.2">
      <c r="AB210" s="107">
        <v>20</v>
      </c>
      <c r="AC210" s="107">
        <v>0</v>
      </c>
      <c r="AD210" s="107">
        <v>20</v>
      </c>
      <c r="AE210" s="107">
        <v>0</v>
      </c>
      <c r="AF210" s="107">
        <v>20</v>
      </c>
      <c r="AG210" s="107">
        <v>0</v>
      </c>
      <c r="AH210" s="107">
        <v>20</v>
      </c>
      <c r="AI210" s="107">
        <v>0</v>
      </c>
      <c r="AJ210" s="107">
        <v>20</v>
      </c>
      <c r="AK210" s="107">
        <v>0</v>
      </c>
      <c r="AL210" s="107">
        <v>20</v>
      </c>
      <c r="AM210" s="107">
        <v>0</v>
      </c>
    </row>
    <row r="211" spans="28:39" hidden="1" x14ac:dyDescent="0.2">
      <c r="AB211" s="107">
        <v>21</v>
      </c>
      <c r="AC211" s="107">
        <v>0</v>
      </c>
      <c r="AD211" s="107">
        <v>21</v>
      </c>
      <c r="AE211" s="107">
        <v>0</v>
      </c>
      <c r="AF211" s="107">
        <v>21</v>
      </c>
      <c r="AG211" s="107">
        <v>0</v>
      </c>
      <c r="AH211" s="107">
        <v>21</v>
      </c>
      <c r="AI211" s="107">
        <v>0</v>
      </c>
      <c r="AJ211" s="107">
        <v>21</v>
      </c>
      <c r="AK211" s="107">
        <v>0</v>
      </c>
      <c r="AL211" s="107">
        <v>21</v>
      </c>
      <c r="AM211" s="107">
        <v>0</v>
      </c>
    </row>
    <row r="212" spans="28:39" hidden="1" x14ac:dyDescent="0.2">
      <c r="AB212" s="107">
        <v>22</v>
      </c>
      <c r="AC212" s="107">
        <v>0</v>
      </c>
      <c r="AD212" s="107">
        <v>22</v>
      </c>
      <c r="AE212" s="107">
        <v>0</v>
      </c>
      <c r="AF212" s="107">
        <v>22</v>
      </c>
      <c r="AG212" s="107">
        <v>0</v>
      </c>
      <c r="AH212" s="107">
        <v>22</v>
      </c>
      <c r="AI212" s="107">
        <v>0</v>
      </c>
      <c r="AJ212" s="107">
        <v>22</v>
      </c>
      <c r="AK212" s="107">
        <v>0</v>
      </c>
      <c r="AL212" s="107">
        <v>22</v>
      </c>
      <c r="AM212" s="107">
        <v>0</v>
      </c>
    </row>
    <row r="213" spans="28:39" hidden="1" x14ac:dyDescent="0.2">
      <c r="AB213" s="107">
        <v>23</v>
      </c>
      <c r="AC213" s="107">
        <v>0</v>
      </c>
      <c r="AD213" s="107">
        <v>23</v>
      </c>
      <c r="AE213" s="107">
        <v>0</v>
      </c>
      <c r="AF213" s="107">
        <v>23</v>
      </c>
      <c r="AG213" s="107">
        <v>0</v>
      </c>
      <c r="AH213" s="107">
        <v>23</v>
      </c>
      <c r="AI213" s="107">
        <v>0</v>
      </c>
      <c r="AJ213" s="107">
        <v>23</v>
      </c>
      <c r="AK213" s="107">
        <v>0</v>
      </c>
      <c r="AL213" s="107">
        <v>23</v>
      </c>
      <c r="AM213" s="107">
        <v>0</v>
      </c>
    </row>
    <row r="214" spans="28:39" hidden="1" x14ac:dyDescent="0.2">
      <c r="AB214" s="107">
        <v>24</v>
      </c>
      <c r="AC214" s="107">
        <v>0</v>
      </c>
      <c r="AD214" s="107">
        <v>24</v>
      </c>
      <c r="AE214" s="107">
        <v>0</v>
      </c>
      <c r="AF214" s="107">
        <v>24</v>
      </c>
      <c r="AG214" s="107">
        <v>0</v>
      </c>
      <c r="AH214" s="107">
        <v>24</v>
      </c>
      <c r="AI214" s="107">
        <v>0</v>
      </c>
      <c r="AJ214" s="107">
        <v>24</v>
      </c>
      <c r="AK214" s="107">
        <v>0</v>
      </c>
      <c r="AL214" s="107">
        <v>24</v>
      </c>
      <c r="AM214" s="107">
        <v>0</v>
      </c>
    </row>
    <row r="215" spans="28:39" hidden="1" x14ac:dyDescent="0.2">
      <c r="AB215" s="107">
        <v>25</v>
      </c>
      <c r="AC215" s="107">
        <v>0</v>
      </c>
      <c r="AD215" s="107">
        <v>25</v>
      </c>
      <c r="AE215" s="107">
        <v>0</v>
      </c>
      <c r="AF215" s="107">
        <v>25</v>
      </c>
      <c r="AG215" s="107">
        <v>0</v>
      </c>
      <c r="AH215" s="107">
        <v>25</v>
      </c>
      <c r="AI215" s="107">
        <v>0</v>
      </c>
      <c r="AJ215" s="107">
        <v>25</v>
      </c>
      <c r="AK215" s="107">
        <v>0</v>
      </c>
      <c r="AL215" s="107">
        <v>25</v>
      </c>
      <c r="AM215" s="107">
        <v>0</v>
      </c>
    </row>
    <row r="216" spans="28:39" hidden="1" x14ac:dyDescent="0.2">
      <c r="AB216" s="107">
        <v>26</v>
      </c>
      <c r="AC216" s="107">
        <v>0</v>
      </c>
      <c r="AD216" s="107">
        <v>26</v>
      </c>
      <c r="AE216" s="107">
        <v>0</v>
      </c>
      <c r="AF216" s="107">
        <v>26</v>
      </c>
      <c r="AG216" s="107">
        <v>0</v>
      </c>
      <c r="AH216" s="107">
        <v>26</v>
      </c>
      <c r="AI216" s="107">
        <v>0</v>
      </c>
      <c r="AJ216" s="107">
        <v>26</v>
      </c>
      <c r="AK216" s="107">
        <v>0</v>
      </c>
      <c r="AL216" s="107">
        <v>26</v>
      </c>
      <c r="AM216" s="107">
        <v>0</v>
      </c>
    </row>
    <row r="217" spans="28:39" hidden="1" x14ac:dyDescent="0.2">
      <c r="AB217" s="107">
        <v>27</v>
      </c>
      <c r="AC217" s="107">
        <v>0</v>
      </c>
      <c r="AD217" s="107">
        <v>27</v>
      </c>
      <c r="AE217" s="107">
        <v>0</v>
      </c>
      <c r="AF217" s="107">
        <v>27</v>
      </c>
      <c r="AG217" s="107">
        <v>0</v>
      </c>
      <c r="AH217" s="107">
        <v>27</v>
      </c>
      <c r="AI217" s="107">
        <v>0</v>
      </c>
      <c r="AJ217" s="107">
        <v>27</v>
      </c>
      <c r="AK217" s="107">
        <v>0</v>
      </c>
      <c r="AL217" s="107">
        <v>27</v>
      </c>
      <c r="AM217" s="107">
        <v>0</v>
      </c>
    </row>
    <row r="218" spans="28:39" hidden="1" x14ac:dyDescent="0.2">
      <c r="AB218" s="107">
        <v>28</v>
      </c>
      <c r="AC218" s="107">
        <v>0</v>
      </c>
      <c r="AD218" s="107">
        <v>28</v>
      </c>
      <c r="AE218" s="107">
        <v>0</v>
      </c>
      <c r="AF218" s="107">
        <v>28</v>
      </c>
      <c r="AG218" s="107">
        <v>0</v>
      </c>
      <c r="AH218" s="107">
        <v>28</v>
      </c>
      <c r="AI218" s="107">
        <v>0</v>
      </c>
      <c r="AJ218" s="107">
        <v>28</v>
      </c>
      <c r="AK218" s="107">
        <v>0</v>
      </c>
      <c r="AL218" s="107">
        <v>28</v>
      </c>
      <c r="AM218" s="107">
        <v>0</v>
      </c>
    </row>
    <row r="219" spans="28:39" hidden="1" x14ac:dyDescent="0.2">
      <c r="AB219" s="107">
        <v>29</v>
      </c>
      <c r="AC219" s="107">
        <v>0</v>
      </c>
      <c r="AD219" s="107">
        <v>29</v>
      </c>
      <c r="AE219" s="107">
        <v>0</v>
      </c>
      <c r="AF219" s="107">
        <v>29</v>
      </c>
      <c r="AG219" s="107">
        <v>0</v>
      </c>
      <c r="AH219" s="107">
        <v>29</v>
      </c>
      <c r="AI219" s="107">
        <v>0</v>
      </c>
      <c r="AJ219" s="107">
        <v>29</v>
      </c>
      <c r="AK219" s="107">
        <v>0</v>
      </c>
      <c r="AL219" s="107">
        <v>29</v>
      </c>
      <c r="AM219" s="107">
        <v>0</v>
      </c>
    </row>
    <row r="220" spans="28:39" hidden="1" x14ac:dyDescent="0.2">
      <c r="AB220" s="107">
        <v>30</v>
      </c>
      <c r="AC220" s="107">
        <v>0</v>
      </c>
      <c r="AD220" s="107">
        <v>30</v>
      </c>
      <c r="AE220" s="107">
        <v>0</v>
      </c>
      <c r="AF220" s="107">
        <v>30</v>
      </c>
      <c r="AG220" s="107">
        <v>0</v>
      </c>
      <c r="AH220" s="107">
        <v>30</v>
      </c>
      <c r="AI220" s="107">
        <v>0</v>
      </c>
      <c r="AJ220" s="107">
        <v>30</v>
      </c>
      <c r="AK220" s="107">
        <v>0</v>
      </c>
      <c r="AL220" s="107">
        <v>30</v>
      </c>
      <c r="AM220" s="107">
        <v>0</v>
      </c>
    </row>
    <row r="221" spans="28:39" hidden="1" x14ac:dyDescent="0.2">
      <c r="AB221" s="107">
        <v>31</v>
      </c>
      <c r="AC221" s="107">
        <v>0</v>
      </c>
      <c r="AD221" s="107">
        <v>31</v>
      </c>
      <c r="AE221" s="107">
        <v>0</v>
      </c>
      <c r="AF221" s="107">
        <v>31</v>
      </c>
      <c r="AG221" s="107">
        <v>0</v>
      </c>
      <c r="AH221" s="107">
        <v>31</v>
      </c>
      <c r="AI221" s="107">
        <v>0</v>
      </c>
      <c r="AJ221" s="107">
        <v>31</v>
      </c>
      <c r="AK221" s="107">
        <v>0</v>
      </c>
      <c r="AL221" s="107">
        <v>31</v>
      </c>
      <c r="AM221" s="107">
        <v>0</v>
      </c>
    </row>
    <row r="222" spans="28:39" hidden="1" x14ac:dyDescent="0.2">
      <c r="AB222" s="107">
        <v>32</v>
      </c>
      <c r="AC222" s="107">
        <v>0</v>
      </c>
      <c r="AD222" s="107">
        <v>32</v>
      </c>
      <c r="AE222" s="107">
        <v>0</v>
      </c>
      <c r="AF222" s="107">
        <v>32</v>
      </c>
      <c r="AG222" s="107">
        <v>0</v>
      </c>
      <c r="AH222" s="107">
        <v>32</v>
      </c>
      <c r="AI222" s="107">
        <v>0</v>
      </c>
      <c r="AJ222" s="107">
        <v>32</v>
      </c>
      <c r="AK222" s="107">
        <v>0</v>
      </c>
      <c r="AL222" s="107">
        <v>32</v>
      </c>
      <c r="AM222" s="107">
        <v>0</v>
      </c>
    </row>
    <row r="223" spans="28:39" hidden="1" x14ac:dyDescent="0.2">
      <c r="AB223" s="107">
        <v>33</v>
      </c>
      <c r="AC223" s="107">
        <v>0</v>
      </c>
      <c r="AD223" s="107">
        <v>33</v>
      </c>
      <c r="AE223" s="107">
        <v>0</v>
      </c>
      <c r="AF223" s="107">
        <v>33</v>
      </c>
      <c r="AG223" s="107">
        <v>0</v>
      </c>
      <c r="AH223" s="107">
        <v>33</v>
      </c>
      <c r="AI223" s="107">
        <v>0</v>
      </c>
      <c r="AJ223" s="107">
        <v>33</v>
      </c>
      <c r="AK223" s="107">
        <v>0</v>
      </c>
      <c r="AL223" s="107">
        <v>33</v>
      </c>
      <c r="AM223" s="107">
        <v>0</v>
      </c>
    </row>
    <row r="224" spans="28:39" hidden="1" x14ac:dyDescent="0.2">
      <c r="AB224" s="107">
        <v>34</v>
      </c>
      <c r="AC224" s="107">
        <v>0</v>
      </c>
      <c r="AD224" s="107">
        <v>34</v>
      </c>
      <c r="AE224" s="107">
        <v>0</v>
      </c>
      <c r="AF224" s="107">
        <v>34</v>
      </c>
      <c r="AG224" s="107">
        <v>0</v>
      </c>
      <c r="AH224" s="107">
        <v>34</v>
      </c>
      <c r="AI224" s="107">
        <v>0</v>
      </c>
      <c r="AJ224" s="107">
        <v>34</v>
      </c>
      <c r="AK224" s="107">
        <v>0</v>
      </c>
      <c r="AL224" s="107">
        <v>34</v>
      </c>
      <c r="AM224" s="107">
        <v>0</v>
      </c>
    </row>
    <row r="225" spans="28:39" hidden="1" x14ac:dyDescent="0.2">
      <c r="AB225" s="107">
        <v>35</v>
      </c>
      <c r="AC225" s="107">
        <v>0</v>
      </c>
      <c r="AD225" s="107">
        <v>35</v>
      </c>
      <c r="AE225" s="107">
        <v>0</v>
      </c>
      <c r="AF225" s="107">
        <v>35</v>
      </c>
      <c r="AG225" s="107">
        <v>0</v>
      </c>
      <c r="AH225" s="107">
        <v>35</v>
      </c>
      <c r="AI225" s="107">
        <v>0</v>
      </c>
      <c r="AJ225" s="107">
        <v>35</v>
      </c>
      <c r="AK225" s="107">
        <v>0</v>
      </c>
      <c r="AL225" s="107">
        <v>35</v>
      </c>
      <c r="AM225" s="107">
        <v>0</v>
      </c>
    </row>
    <row r="226" spans="28:39" hidden="1" x14ac:dyDescent="0.2">
      <c r="AB226" s="107">
        <v>36</v>
      </c>
      <c r="AC226" s="107">
        <v>0</v>
      </c>
      <c r="AD226" s="107">
        <v>36</v>
      </c>
      <c r="AE226" s="107">
        <v>0</v>
      </c>
      <c r="AF226" s="107">
        <v>36</v>
      </c>
      <c r="AG226" s="107">
        <v>0</v>
      </c>
      <c r="AH226" s="107">
        <v>36</v>
      </c>
      <c r="AI226" s="107">
        <v>0</v>
      </c>
      <c r="AJ226" s="107">
        <v>36</v>
      </c>
      <c r="AK226" s="107">
        <v>0</v>
      </c>
      <c r="AL226" s="107">
        <v>36</v>
      </c>
      <c r="AM226" s="107">
        <v>0</v>
      </c>
    </row>
    <row r="227" spans="28:39" hidden="1" x14ac:dyDescent="0.2">
      <c r="AB227" s="107">
        <v>37</v>
      </c>
      <c r="AC227" s="107">
        <v>0</v>
      </c>
      <c r="AD227" s="107">
        <v>37</v>
      </c>
      <c r="AE227" s="107">
        <v>0</v>
      </c>
      <c r="AF227" s="107">
        <v>37</v>
      </c>
      <c r="AG227" s="107">
        <v>0</v>
      </c>
      <c r="AH227" s="107">
        <v>37</v>
      </c>
      <c r="AI227" s="107">
        <v>0</v>
      </c>
      <c r="AJ227" s="107">
        <v>37</v>
      </c>
      <c r="AK227" s="107">
        <v>0</v>
      </c>
      <c r="AL227" s="107">
        <v>37</v>
      </c>
      <c r="AM227" s="107">
        <v>0</v>
      </c>
    </row>
    <row r="228" spans="28:39" hidden="1" x14ac:dyDescent="0.2">
      <c r="AB228" s="107">
        <v>38</v>
      </c>
      <c r="AC228" s="107">
        <v>0</v>
      </c>
      <c r="AD228" s="107">
        <v>38</v>
      </c>
      <c r="AE228" s="107">
        <v>0</v>
      </c>
      <c r="AF228" s="107">
        <v>38</v>
      </c>
      <c r="AG228" s="107">
        <v>0</v>
      </c>
      <c r="AH228" s="107">
        <v>38</v>
      </c>
      <c r="AI228" s="107">
        <v>0</v>
      </c>
      <c r="AJ228" s="107">
        <v>38</v>
      </c>
      <c r="AK228" s="107">
        <v>0</v>
      </c>
      <c r="AL228" s="107">
        <v>38</v>
      </c>
      <c r="AM228" s="107">
        <v>0</v>
      </c>
    </row>
    <row r="229" spans="28:39" hidden="1" x14ac:dyDescent="0.2">
      <c r="AB229" s="107">
        <v>39</v>
      </c>
      <c r="AC229" s="107">
        <v>0</v>
      </c>
      <c r="AD229" s="107">
        <v>39</v>
      </c>
      <c r="AE229" s="107">
        <v>0</v>
      </c>
      <c r="AF229" s="107">
        <v>39</v>
      </c>
      <c r="AG229" s="107">
        <v>0</v>
      </c>
      <c r="AH229" s="107">
        <v>39</v>
      </c>
      <c r="AI229" s="107">
        <v>0</v>
      </c>
      <c r="AJ229" s="107">
        <v>39</v>
      </c>
      <c r="AK229" s="107">
        <v>0</v>
      </c>
      <c r="AL229" s="107">
        <v>39</v>
      </c>
      <c r="AM229" s="107">
        <v>0</v>
      </c>
    </row>
    <row r="230" spans="28:39" hidden="1" x14ac:dyDescent="0.2">
      <c r="AB230" s="107">
        <v>40</v>
      </c>
      <c r="AC230" s="107">
        <v>0</v>
      </c>
      <c r="AD230" s="107">
        <v>40</v>
      </c>
      <c r="AE230" s="107">
        <v>0</v>
      </c>
      <c r="AF230" s="107">
        <v>40</v>
      </c>
      <c r="AG230" s="107">
        <v>0</v>
      </c>
      <c r="AH230" s="107">
        <v>40</v>
      </c>
      <c r="AI230" s="107">
        <v>0</v>
      </c>
      <c r="AJ230" s="107">
        <v>40</v>
      </c>
      <c r="AK230" s="107">
        <v>0</v>
      </c>
      <c r="AL230" s="107">
        <v>40</v>
      </c>
      <c r="AM230" s="107">
        <v>0</v>
      </c>
    </row>
    <row r="231" spans="28:39" hidden="1" x14ac:dyDescent="0.2">
      <c r="AB231" s="107">
        <v>41</v>
      </c>
      <c r="AC231" s="107">
        <v>0</v>
      </c>
      <c r="AD231" s="107">
        <v>41</v>
      </c>
      <c r="AE231" s="107">
        <v>0</v>
      </c>
      <c r="AF231" s="107">
        <v>41</v>
      </c>
      <c r="AG231" s="107">
        <v>0</v>
      </c>
      <c r="AH231" s="107">
        <v>41</v>
      </c>
      <c r="AI231" s="107">
        <v>0</v>
      </c>
      <c r="AJ231" s="107">
        <v>41</v>
      </c>
      <c r="AK231" s="107">
        <v>0</v>
      </c>
      <c r="AL231" s="107">
        <v>41</v>
      </c>
      <c r="AM231" s="107">
        <v>0</v>
      </c>
    </row>
    <row r="232" spans="28:39" hidden="1" x14ac:dyDescent="0.2">
      <c r="AB232" s="107">
        <v>42</v>
      </c>
      <c r="AC232" s="107">
        <v>0</v>
      </c>
      <c r="AD232" s="107">
        <v>42</v>
      </c>
      <c r="AE232" s="107">
        <v>0</v>
      </c>
      <c r="AF232" s="107">
        <v>42</v>
      </c>
      <c r="AG232" s="107">
        <v>0</v>
      </c>
      <c r="AH232" s="107">
        <v>42</v>
      </c>
      <c r="AI232" s="107">
        <v>0</v>
      </c>
      <c r="AJ232" s="107">
        <v>42</v>
      </c>
      <c r="AK232" s="107">
        <v>0</v>
      </c>
      <c r="AL232" s="107">
        <v>42</v>
      </c>
      <c r="AM232" s="107">
        <v>0</v>
      </c>
    </row>
    <row r="233" spans="28:39" hidden="1" x14ac:dyDescent="0.2"/>
    <row r="234" spans="28:39" hidden="1" x14ac:dyDescent="0.2"/>
    <row r="235" spans="28:39" hidden="1" x14ac:dyDescent="0.2"/>
    <row r="236" spans="28:39" hidden="1" x14ac:dyDescent="0.2"/>
    <row r="237" spans="28:39" hidden="1" x14ac:dyDescent="0.2"/>
    <row r="238" spans="28:39" hidden="1" x14ac:dyDescent="0.2"/>
    <row r="239" spans="28:39" hidden="1" x14ac:dyDescent="0.2"/>
    <row r="240" spans="28:39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671" spans="249:252" s="304" customFormat="1" x14ac:dyDescent="0.2">
      <c r="IO671" s="305"/>
      <c r="IR671" s="698"/>
    </row>
    <row r="672" spans="249:252" s="304" customFormat="1" x14ac:dyDescent="0.2">
      <c r="IO672" s="305"/>
      <c r="IR672" s="698"/>
    </row>
    <row r="673" spans="249:252" s="304" customFormat="1" x14ac:dyDescent="0.2">
      <c r="IO673" s="305"/>
      <c r="IR673" s="698"/>
    </row>
    <row r="674" spans="249:252" s="304" customFormat="1" x14ac:dyDescent="0.2">
      <c r="IO674" s="305"/>
      <c r="IR674" s="698"/>
    </row>
    <row r="675" spans="249:252" s="304" customFormat="1" x14ac:dyDescent="0.2">
      <c r="IO675" s="305"/>
      <c r="IR675" s="698"/>
    </row>
    <row r="676" spans="249:252" s="304" customFormat="1" x14ac:dyDescent="0.2">
      <c r="IO676" s="305"/>
      <c r="IR676" s="698"/>
    </row>
    <row r="677" spans="249:252" s="304" customFormat="1" x14ac:dyDescent="0.2">
      <c r="IO677" s="305"/>
      <c r="IR677" s="698"/>
    </row>
    <row r="678" spans="249:252" s="304" customFormat="1" x14ac:dyDescent="0.2">
      <c r="IO678" s="305"/>
      <c r="IR678" s="698"/>
    </row>
    <row r="679" spans="249:252" s="304" customFormat="1" x14ac:dyDescent="0.2">
      <c r="IO679" s="305"/>
      <c r="IR679" s="698"/>
    </row>
    <row r="680" spans="249:252" s="304" customFormat="1" x14ac:dyDescent="0.2">
      <c r="IO680" s="305"/>
      <c r="IR680" s="698"/>
    </row>
    <row r="681" spans="249:252" s="304" customFormat="1" x14ac:dyDescent="0.2">
      <c r="IO681" s="305"/>
      <c r="IR681" s="698"/>
    </row>
    <row r="682" spans="249:252" s="304" customFormat="1" x14ac:dyDescent="0.2">
      <c r="IO682" s="305"/>
      <c r="IR682" s="698"/>
    </row>
    <row r="683" spans="249:252" s="304" customFormat="1" x14ac:dyDescent="0.2">
      <c r="IO683" s="305"/>
      <c r="IR683" s="698"/>
    </row>
    <row r="684" spans="249:252" s="304" customFormat="1" x14ac:dyDescent="0.2">
      <c r="IO684" s="305"/>
      <c r="IR684" s="698"/>
    </row>
    <row r="685" spans="249:252" s="304" customFormat="1" x14ac:dyDescent="0.2">
      <c r="IO685" s="305"/>
      <c r="IR685" s="698"/>
    </row>
    <row r="686" spans="249:252" s="304" customFormat="1" x14ac:dyDescent="0.2">
      <c r="IO686" s="305"/>
      <c r="IR686" s="698"/>
    </row>
    <row r="687" spans="249:252" s="304" customFormat="1" x14ac:dyDescent="0.2">
      <c r="IO687" s="305"/>
      <c r="IR687" s="698"/>
    </row>
    <row r="688" spans="249:252" s="304" customFormat="1" x14ac:dyDescent="0.2">
      <c r="IO688" s="305"/>
      <c r="IR688" s="698"/>
    </row>
    <row r="689" spans="249:252" s="304" customFormat="1" x14ac:dyDescent="0.2">
      <c r="IO689" s="305"/>
      <c r="IR689" s="698"/>
    </row>
    <row r="690" spans="249:252" s="304" customFormat="1" x14ac:dyDescent="0.2">
      <c r="IO690" s="305"/>
      <c r="IR690" s="698"/>
    </row>
    <row r="691" spans="249:252" s="304" customFormat="1" x14ac:dyDescent="0.2">
      <c r="IO691" s="305"/>
      <c r="IR691" s="698"/>
    </row>
    <row r="692" spans="249:252" s="304" customFormat="1" x14ac:dyDescent="0.2">
      <c r="IO692" s="305"/>
      <c r="IR692" s="698"/>
    </row>
    <row r="693" spans="249:252" s="304" customFormat="1" x14ac:dyDescent="0.2">
      <c r="IO693" s="305"/>
      <c r="IR693" s="698"/>
    </row>
    <row r="694" spans="249:252" s="304" customFormat="1" x14ac:dyDescent="0.2">
      <c r="IO694" s="305"/>
      <c r="IR694" s="698"/>
    </row>
    <row r="695" spans="249:252" s="304" customFormat="1" x14ac:dyDescent="0.2">
      <c r="IO695" s="305"/>
      <c r="IR695" s="698"/>
    </row>
    <row r="696" spans="249:252" s="304" customFormat="1" x14ac:dyDescent="0.2">
      <c r="IO696" s="305"/>
      <c r="IR696" s="698"/>
    </row>
    <row r="697" spans="249:252" s="304" customFormat="1" x14ac:dyDescent="0.2">
      <c r="IO697" s="305"/>
      <c r="IR697" s="698"/>
    </row>
    <row r="698" spans="249:252" s="304" customFormat="1" x14ac:dyDescent="0.2">
      <c r="IO698" s="305"/>
      <c r="IR698" s="698"/>
    </row>
    <row r="699" spans="249:252" s="304" customFormat="1" x14ac:dyDescent="0.2">
      <c r="IO699" s="305"/>
      <c r="IR699" s="698"/>
    </row>
    <row r="700" spans="249:252" s="304" customFormat="1" x14ac:dyDescent="0.2">
      <c r="IO700" s="305"/>
      <c r="IR700" s="698"/>
    </row>
    <row r="701" spans="249:252" s="304" customFormat="1" x14ac:dyDescent="0.2">
      <c r="IO701" s="305"/>
      <c r="IR701" s="698"/>
    </row>
    <row r="702" spans="249:252" s="304" customFormat="1" x14ac:dyDescent="0.2">
      <c r="IO702" s="305"/>
      <c r="IR702" s="698"/>
    </row>
    <row r="703" spans="249:252" s="304" customFormat="1" x14ac:dyDescent="0.2">
      <c r="IO703" s="305"/>
      <c r="IR703" s="698"/>
    </row>
    <row r="704" spans="249:252" s="304" customFormat="1" x14ac:dyDescent="0.2">
      <c r="IO704" s="305"/>
      <c r="IR704" s="698"/>
    </row>
    <row r="705" spans="249:252" s="304" customFormat="1" x14ac:dyDescent="0.2">
      <c r="IO705" s="305"/>
      <c r="IR705" s="698"/>
    </row>
    <row r="706" spans="249:252" s="304" customFormat="1" x14ac:dyDescent="0.2">
      <c r="IO706" s="305"/>
      <c r="IR706" s="698"/>
    </row>
    <row r="707" spans="249:252" s="304" customFormat="1" x14ac:dyDescent="0.2">
      <c r="IO707" s="305"/>
      <c r="IR707" s="698"/>
    </row>
    <row r="708" spans="249:252" s="304" customFormat="1" x14ac:dyDescent="0.2">
      <c r="IO708" s="305"/>
      <c r="IR708" s="698"/>
    </row>
    <row r="709" spans="249:252" s="304" customFormat="1" x14ac:dyDescent="0.2">
      <c r="IO709" s="305"/>
      <c r="IR709" s="698"/>
    </row>
    <row r="710" spans="249:252" s="304" customFormat="1" x14ac:dyDescent="0.2">
      <c r="IO710" s="305"/>
      <c r="IR710" s="698"/>
    </row>
    <row r="711" spans="249:252" s="304" customFormat="1" x14ac:dyDescent="0.2">
      <c r="IO711" s="305"/>
      <c r="IR711" s="698"/>
    </row>
    <row r="712" spans="249:252" s="304" customFormat="1" x14ac:dyDescent="0.2">
      <c r="IO712" s="305"/>
      <c r="IR712" s="698"/>
    </row>
    <row r="713" spans="249:252" s="304" customFormat="1" x14ac:dyDescent="0.2">
      <c r="IO713" s="305"/>
      <c r="IR713" s="698"/>
    </row>
    <row r="714" spans="249:252" s="304" customFormat="1" x14ac:dyDescent="0.2">
      <c r="IO714" s="305"/>
      <c r="IR714" s="698"/>
    </row>
    <row r="715" spans="249:252" s="304" customFormat="1" x14ac:dyDescent="0.2">
      <c r="IO715" s="305"/>
      <c r="IR715" s="698"/>
    </row>
    <row r="716" spans="249:252" s="304" customFormat="1" x14ac:dyDescent="0.2">
      <c r="IO716" s="305"/>
      <c r="IR716" s="698"/>
    </row>
    <row r="717" spans="249:252" s="304" customFormat="1" x14ac:dyDescent="0.2">
      <c r="IO717" s="305"/>
      <c r="IR717" s="698"/>
    </row>
    <row r="718" spans="249:252" s="304" customFormat="1" x14ac:dyDescent="0.2">
      <c r="IO718" s="305"/>
      <c r="IR718" s="698"/>
    </row>
    <row r="719" spans="249:252" s="304" customFormat="1" x14ac:dyDescent="0.2">
      <c r="IO719" s="305"/>
      <c r="IR719" s="698"/>
    </row>
    <row r="720" spans="249:252" s="304" customFormat="1" x14ac:dyDescent="0.2">
      <c r="IO720" s="305"/>
      <c r="IR720" s="698"/>
    </row>
    <row r="721" spans="249:252" s="304" customFormat="1" x14ac:dyDescent="0.2">
      <c r="IO721" s="305"/>
      <c r="IR721" s="698"/>
    </row>
    <row r="722" spans="249:252" s="304" customFormat="1" x14ac:dyDescent="0.2">
      <c r="IO722" s="305"/>
      <c r="IR722" s="698"/>
    </row>
    <row r="723" spans="249:252" s="304" customFormat="1" x14ac:dyDescent="0.2">
      <c r="IO723" s="305"/>
      <c r="IR723" s="698"/>
    </row>
    <row r="724" spans="249:252" s="304" customFormat="1" x14ac:dyDescent="0.2">
      <c r="IO724" s="305"/>
      <c r="IR724" s="698"/>
    </row>
    <row r="725" spans="249:252" s="304" customFormat="1" x14ac:dyDescent="0.2">
      <c r="IO725" s="305"/>
      <c r="IR725" s="698"/>
    </row>
    <row r="726" spans="249:252" s="304" customFormat="1" x14ac:dyDescent="0.2">
      <c r="IO726" s="305"/>
      <c r="IR726" s="698"/>
    </row>
    <row r="727" spans="249:252" s="304" customFormat="1" x14ac:dyDescent="0.2">
      <c r="IO727" s="305"/>
      <c r="IR727" s="698"/>
    </row>
    <row r="728" spans="249:252" s="304" customFormat="1" x14ac:dyDescent="0.2">
      <c r="IO728" s="305"/>
      <c r="IR728" s="698"/>
    </row>
    <row r="729" spans="249:252" s="304" customFormat="1" x14ac:dyDescent="0.2">
      <c r="IO729" s="305"/>
      <c r="IR729" s="698"/>
    </row>
    <row r="730" spans="249:252" s="304" customFormat="1" x14ac:dyDescent="0.2">
      <c r="IO730" s="305"/>
      <c r="IR730" s="698"/>
    </row>
    <row r="731" spans="249:252" s="304" customFormat="1" x14ac:dyDescent="0.2">
      <c r="IO731" s="305"/>
      <c r="IR731" s="698"/>
    </row>
    <row r="732" spans="249:252" s="304" customFormat="1" x14ac:dyDescent="0.2">
      <c r="IO732" s="305"/>
      <c r="IR732" s="698"/>
    </row>
    <row r="733" spans="249:252" s="304" customFormat="1" x14ac:dyDescent="0.2">
      <c r="IO733" s="305"/>
      <c r="IR733" s="698"/>
    </row>
    <row r="734" spans="249:252" s="304" customFormat="1" x14ac:dyDescent="0.2">
      <c r="IO734" s="305"/>
      <c r="IR734" s="698"/>
    </row>
    <row r="735" spans="249:252" s="304" customFormat="1" x14ac:dyDescent="0.2">
      <c r="IO735" s="305"/>
      <c r="IR735" s="698"/>
    </row>
    <row r="736" spans="249:252" s="304" customFormat="1" x14ac:dyDescent="0.2">
      <c r="IO736" s="305"/>
      <c r="IR736" s="698"/>
    </row>
    <row r="737" spans="249:252" s="304" customFormat="1" x14ac:dyDescent="0.2">
      <c r="IO737" s="305"/>
      <c r="IR737" s="698"/>
    </row>
    <row r="738" spans="249:252" s="304" customFormat="1" x14ac:dyDescent="0.2">
      <c r="IO738" s="305"/>
      <c r="IR738" s="698"/>
    </row>
    <row r="739" spans="249:252" s="304" customFormat="1" x14ac:dyDescent="0.2">
      <c r="IO739" s="305"/>
      <c r="IR739" s="698"/>
    </row>
    <row r="740" spans="249:252" s="304" customFormat="1" x14ac:dyDescent="0.2">
      <c r="IO740" s="305"/>
      <c r="IR740" s="698"/>
    </row>
    <row r="741" spans="249:252" s="304" customFormat="1" x14ac:dyDescent="0.2">
      <c r="IO741" s="305"/>
      <c r="IR741" s="698"/>
    </row>
    <row r="742" spans="249:252" s="304" customFormat="1" x14ac:dyDescent="0.2">
      <c r="IO742" s="305"/>
      <c r="IR742" s="698"/>
    </row>
    <row r="743" spans="249:252" s="304" customFormat="1" x14ac:dyDescent="0.2">
      <c r="IO743" s="305"/>
      <c r="IR743" s="698"/>
    </row>
    <row r="744" spans="249:252" s="304" customFormat="1" x14ac:dyDescent="0.2">
      <c r="IO744" s="305"/>
      <c r="IR744" s="698"/>
    </row>
    <row r="745" spans="249:252" s="304" customFormat="1" x14ac:dyDescent="0.2">
      <c r="IO745" s="305"/>
      <c r="IR745" s="698"/>
    </row>
    <row r="746" spans="249:252" s="304" customFormat="1" x14ac:dyDescent="0.2">
      <c r="IO746" s="305"/>
      <c r="IR746" s="698"/>
    </row>
    <row r="747" spans="249:252" s="304" customFormat="1" x14ac:dyDescent="0.2">
      <c r="IO747" s="305"/>
      <c r="IR747" s="698"/>
    </row>
    <row r="748" spans="249:252" s="304" customFormat="1" x14ac:dyDescent="0.2">
      <c r="IO748" s="305"/>
      <c r="IR748" s="698"/>
    </row>
    <row r="749" spans="249:252" s="304" customFormat="1" x14ac:dyDescent="0.2">
      <c r="IO749" s="305"/>
      <c r="IR749" s="698"/>
    </row>
    <row r="750" spans="249:252" s="304" customFormat="1" x14ac:dyDescent="0.2">
      <c r="IO750" s="305"/>
      <c r="IR750" s="698"/>
    </row>
    <row r="751" spans="249:252" s="304" customFormat="1" x14ac:dyDescent="0.2">
      <c r="IO751" s="305"/>
      <c r="IR751" s="698"/>
    </row>
    <row r="752" spans="249:252" s="304" customFormat="1" x14ac:dyDescent="0.2">
      <c r="IO752" s="305"/>
      <c r="IR752" s="698"/>
    </row>
    <row r="753" spans="249:252" s="304" customFormat="1" x14ac:dyDescent="0.2">
      <c r="IO753" s="305"/>
      <c r="IR753" s="698"/>
    </row>
    <row r="754" spans="249:252" s="304" customFormat="1" x14ac:dyDescent="0.2">
      <c r="IO754" s="305"/>
      <c r="IR754" s="698"/>
    </row>
    <row r="755" spans="249:252" s="304" customFormat="1" x14ac:dyDescent="0.2">
      <c r="IO755" s="305"/>
      <c r="IR755" s="698"/>
    </row>
    <row r="756" spans="249:252" s="304" customFormat="1" x14ac:dyDescent="0.2">
      <c r="IO756" s="305"/>
      <c r="IR756" s="698"/>
    </row>
    <row r="757" spans="249:252" s="304" customFormat="1" x14ac:dyDescent="0.2">
      <c r="IO757" s="305"/>
      <c r="IR757" s="698"/>
    </row>
    <row r="758" spans="249:252" s="304" customFormat="1" x14ac:dyDescent="0.2">
      <c r="IO758" s="305"/>
      <c r="IR758" s="698"/>
    </row>
    <row r="759" spans="249:252" s="304" customFormat="1" x14ac:dyDescent="0.2">
      <c r="IO759" s="305"/>
      <c r="IR759" s="698"/>
    </row>
    <row r="760" spans="249:252" s="304" customFormat="1" x14ac:dyDescent="0.2">
      <c r="IO760" s="305"/>
      <c r="IR760" s="698"/>
    </row>
    <row r="761" spans="249:252" s="304" customFormat="1" x14ac:dyDescent="0.2">
      <c r="IO761" s="305"/>
      <c r="IR761" s="698"/>
    </row>
    <row r="762" spans="249:252" s="304" customFormat="1" x14ac:dyDescent="0.2">
      <c r="IO762" s="305"/>
      <c r="IR762" s="698"/>
    </row>
    <row r="763" spans="249:252" s="304" customFormat="1" x14ac:dyDescent="0.2">
      <c r="IO763" s="305"/>
      <c r="IR763" s="698"/>
    </row>
  </sheetData>
  <sheetProtection algorithmName="SHA-512" hashValue="qP10vhemjSIWkpgVPIrISK3RE9r3amrDK5/kUyBKJhmwcwu6NFNCmpl/gMvUWgeUEFxoFNncVF/WyuHrMvssDg==" saltValue="Ve5X2K4AWU87ME/GvJAOag==" spinCount="100000" sheet="1" objects="1" scenarios="1"/>
  <mergeCells count="549">
    <mergeCell ref="E65:F65"/>
    <mergeCell ref="G65:J65"/>
    <mergeCell ref="K75:L75"/>
    <mergeCell ref="M67:O67"/>
    <mergeCell ref="M71:O71"/>
    <mergeCell ref="G53:I53"/>
    <mergeCell ref="G55:I55"/>
    <mergeCell ref="H48:I48"/>
    <mergeCell ref="J52:L52"/>
    <mergeCell ref="G51:I51"/>
    <mergeCell ref="H52:I52"/>
    <mergeCell ref="J49:L49"/>
    <mergeCell ref="G49:I49"/>
    <mergeCell ref="H57:I57"/>
    <mergeCell ref="B59:W60"/>
    <mergeCell ref="M55:O55"/>
    <mergeCell ref="J53:L53"/>
    <mergeCell ref="J55:L55"/>
    <mergeCell ref="E67:F67"/>
    <mergeCell ref="G67:J67"/>
    <mergeCell ref="P65:R65"/>
    <mergeCell ref="S65:U65"/>
    <mergeCell ref="S69:U69"/>
    <mergeCell ref="M53:O53"/>
    <mergeCell ref="E77:F77"/>
    <mergeCell ref="K77:L77"/>
    <mergeCell ref="K79:L79"/>
    <mergeCell ref="E69:F69"/>
    <mergeCell ref="S1:Z1"/>
    <mergeCell ref="P61:R62"/>
    <mergeCell ref="P63:R63"/>
    <mergeCell ref="E51:F51"/>
    <mergeCell ref="E49:F49"/>
    <mergeCell ref="E55:F55"/>
    <mergeCell ref="G45:I45"/>
    <mergeCell ref="M46:N46"/>
    <mergeCell ref="G40:I40"/>
    <mergeCell ref="M45:O45"/>
    <mergeCell ref="M43:O43"/>
    <mergeCell ref="F12:G12"/>
    <mergeCell ref="E47:F47"/>
    <mergeCell ref="G47:I47"/>
    <mergeCell ref="J47:L47"/>
    <mergeCell ref="J48:L48"/>
    <mergeCell ref="Z60:Z62"/>
    <mergeCell ref="J51:L51"/>
    <mergeCell ref="S67:U67"/>
    <mergeCell ref="P79:R79"/>
    <mergeCell ref="C107:D111"/>
    <mergeCell ref="B61:C91"/>
    <mergeCell ref="E71:F71"/>
    <mergeCell ref="K71:L71"/>
    <mergeCell ref="E73:F73"/>
    <mergeCell ref="G83:J83"/>
    <mergeCell ref="K63:L63"/>
    <mergeCell ref="E63:F63"/>
    <mergeCell ref="M90:O90"/>
    <mergeCell ref="M83:O83"/>
    <mergeCell ref="F107:I111"/>
    <mergeCell ref="K61:L62"/>
    <mergeCell ref="G61:J62"/>
    <mergeCell ref="M61:O62"/>
    <mergeCell ref="K73:L73"/>
    <mergeCell ref="E89:J90"/>
    <mergeCell ref="E87:J87"/>
    <mergeCell ref="E79:F79"/>
    <mergeCell ref="G69:J69"/>
    <mergeCell ref="M73:O73"/>
    <mergeCell ref="E75:F75"/>
    <mergeCell ref="G75:J75"/>
    <mergeCell ref="G85:J85"/>
    <mergeCell ref="K85:L85"/>
    <mergeCell ref="S182:T182"/>
    <mergeCell ref="S172:T172"/>
    <mergeCell ref="S177:T177"/>
    <mergeCell ref="Q164:R164"/>
    <mergeCell ref="O163:P163"/>
    <mergeCell ref="Q162:R162"/>
    <mergeCell ref="M63:O63"/>
    <mergeCell ref="S156:T156"/>
    <mergeCell ref="S166:T166"/>
    <mergeCell ref="S164:T164"/>
    <mergeCell ref="S165:T165"/>
    <mergeCell ref="S168:T168"/>
    <mergeCell ref="S154:T154"/>
    <mergeCell ref="S148:T149"/>
    <mergeCell ref="O174:P174"/>
    <mergeCell ref="M153:N153"/>
    <mergeCell ref="J107:M111"/>
    <mergeCell ref="J153:L153"/>
    <mergeCell ref="J154:L154"/>
    <mergeCell ref="S63:U63"/>
    <mergeCell ref="G73:J73"/>
    <mergeCell ref="K69:L69"/>
    <mergeCell ref="K65:L65"/>
    <mergeCell ref="G63:J63"/>
    <mergeCell ref="AN142:AN143"/>
    <mergeCell ref="S161:T161"/>
    <mergeCell ref="S190:T190"/>
    <mergeCell ref="S188:T188"/>
    <mergeCell ref="S189:T189"/>
    <mergeCell ref="S184:T184"/>
    <mergeCell ref="S179:T179"/>
    <mergeCell ref="S170:T170"/>
    <mergeCell ref="AQ122:AS124"/>
    <mergeCell ref="AO142:AP143"/>
    <mergeCell ref="AQ125:AS126"/>
    <mergeCell ref="S180:T180"/>
    <mergeCell ref="S171:T171"/>
    <mergeCell ref="S157:T157"/>
    <mergeCell ref="S162:T162"/>
    <mergeCell ref="S159:T159"/>
    <mergeCell ref="S187:T187"/>
    <mergeCell ref="S176:T176"/>
    <mergeCell ref="S175:T175"/>
    <mergeCell ref="S185:T185"/>
    <mergeCell ref="S174:T174"/>
    <mergeCell ref="S186:T186"/>
    <mergeCell ref="S183:T183"/>
    <mergeCell ref="S181:T181"/>
    <mergeCell ref="AG125:AJ126"/>
    <mergeCell ref="AJ107:AM111"/>
    <mergeCell ref="AJ112:AM113"/>
    <mergeCell ref="AG122:AJ124"/>
    <mergeCell ref="AL125:AP126"/>
    <mergeCell ref="O171:P171"/>
    <mergeCell ref="Q166:R166"/>
    <mergeCell ref="Q169:R169"/>
    <mergeCell ref="Q165:R165"/>
    <mergeCell ref="Q168:R168"/>
    <mergeCell ref="Q170:R170"/>
    <mergeCell ref="AG107:AH111"/>
    <mergeCell ref="AN139:AP141"/>
    <mergeCell ref="AL122:AP124"/>
    <mergeCell ref="S112:U114"/>
    <mergeCell ref="N112:Q114"/>
    <mergeCell ref="O154:P154"/>
    <mergeCell ref="M156:N156"/>
    <mergeCell ref="M170:N170"/>
    <mergeCell ref="AG112:AH113"/>
    <mergeCell ref="S160:T160"/>
    <mergeCell ref="S152:T152"/>
    <mergeCell ref="S163:T163"/>
    <mergeCell ref="S158:T158"/>
    <mergeCell ref="S169:T169"/>
    <mergeCell ref="S178:T178"/>
    <mergeCell ref="S173:T173"/>
    <mergeCell ref="M157:N157"/>
    <mergeCell ref="Q163:R163"/>
    <mergeCell ref="Q171:R171"/>
    <mergeCell ref="Q167:R167"/>
    <mergeCell ref="O173:P173"/>
    <mergeCell ref="G157:I157"/>
    <mergeCell ref="G167:I167"/>
    <mergeCell ref="J165:L165"/>
    <mergeCell ref="G162:I162"/>
    <mergeCell ref="G161:I161"/>
    <mergeCell ref="J163:L163"/>
    <mergeCell ref="G159:I159"/>
    <mergeCell ref="J159:L159"/>
    <mergeCell ref="J158:L158"/>
    <mergeCell ref="J162:L162"/>
    <mergeCell ref="G158:I158"/>
    <mergeCell ref="G170:I170"/>
    <mergeCell ref="J175:L175"/>
    <mergeCell ref="G175:I175"/>
    <mergeCell ref="Q176:R176"/>
    <mergeCell ref="S167:T167"/>
    <mergeCell ref="G156:I156"/>
    <mergeCell ref="C130:D131"/>
    <mergeCell ref="J112:M114"/>
    <mergeCell ref="B118:W120"/>
    <mergeCell ref="R112:R114"/>
    <mergeCell ref="C112:D114"/>
    <mergeCell ref="B130:B131"/>
    <mergeCell ref="L123:P125"/>
    <mergeCell ref="G130:J131"/>
    <mergeCell ref="C136:X138"/>
    <mergeCell ref="O151:P151"/>
    <mergeCell ref="Q152:R152"/>
    <mergeCell ref="Q154:R154"/>
    <mergeCell ref="L126:P127"/>
    <mergeCell ref="J148:L149"/>
    <mergeCell ref="M152:N152"/>
    <mergeCell ref="M154:N154"/>
    <mergeCell ref="O152:P152"/>
    <mergeCell ref="G154:I154"/>
    <mergeCell ref="S155:T155"/>
    <mergeCell ref="S151:T151"/>
    <mergeCell ref="S153:T153"/>
    <mergeCell ref="K130:M131"/>
    <mergeCell ref="F126:K127"/>
    <mergeCell ref="D87:D88"/>
    <mergeCell ref="B103:W105"/>
    <mergeCell ref="P88:R88"/>
    <mergeCell ref="AF81:AH81"/>
    <mergeCell ref="AF85:AH85"/>
    <mergeCell ref="T89:U89"/>
    <mergeCell ref="M81:O81"/>
    <mergeCell ref="K87:L88"/>
    <mergeCell ref="S83:U83"/>
    <mergeCell ref="P87:R87"/>
    <mergeCell ref="S81:T81"/>
    <mergeCell ref="K81:L81"/>
    <mergeCell ref="K83:L83"/>
    <mergeCell ref="E91:J91"/>
    <mergeCell ref="AF103:BA105"/>
    <mergeCell ref="P81:R81"/>
    <mergeCell ref="IT84:IV84"/>
    <mergeCell ref="HL86:HO86"/>
    <mergeCell ref="AF88:AH88"/>
    <mergeCell ref="V89:V91"/>
    <mergeCell ref="AF87:AH87"/>
    <mergeCell ref="T87:U87"/>
    <mergeCell ref="S85:U85"/>
    <mergeCell ref="S91:U91"/>
    <mergeCell ref="T90:U90"/>
    <mergeCell ref="S73:U73"/>
    <mergeCell ref="S77:U77"/>
    <mergeCell ref="S71:U71"/>
    <mergeCell ref="BI110:BK112"/>
    <mergeCell ref="BC110:BE112"/>
    <mergeCell ref="AN107:AQ111"/>
    <mergeCell ref="AN112:AQ113"/>
    <mergeCell ref="BI113:BK114"/>
    <mergeCell ref="BF110:BH112"/>
    <mergeCell ref="AW112:AY113"/>
    <mergeCell ref="BC113:BE114"/>
    <mergeCell ref="AR107:AU111"/>
    <mergeCell ref="BF113:BH114"/>
    <mergeCell ref="AW107:AY111"/>
    <mergeCell ref="AF83:AH83"/>
    <mergeCell ref="AF90:AH90"/>
    <mergeCell ref="AR112:AU113"/>
    <mergeCell ref="AF63:AH63"/>
    <mergeCell ref="AF62:AH62"/>
    <mergeCell ref="AF71:AH71"/>
    <mergeCell ref="AF69:AH69"/>
    <mergeCell ref="AF77:AH77"/>
    <mergeCell ref="AF67:AH67"/>
    <mergeCell ref="AF65:AH65"/>
    <mergeCell ref="AF75:AH75"/>
    <mergeCell ref="AF79:AH79"/>
    <mergeCell ref="AF73:AH73"/>
    <mergeCell ref="AC57:AE57"/>
    <mergeCell ref="P57:R57"/>
    <mergeCell ref="P55:R55"/>
    <mergeCell ref="AC53:AE53"/>
    <mergeCell ref="AC40:AE40"/>
    <mergeCell ref="P52:Q52"/>
    <mergeCell ref="AC41:AE41"/>
    <mergeCell ref="P41:R41"/>
    <mergeCell ref="AC43:AE43"/>
    <mergeCell ref="AC51:AE51"/>
    <mergeCell ref="P43:R43"/>
    <mergeCell ref="P45:R45"/>
    <mergeCell ref="AC55:AE55"/>
    <mergeCell ref="P51:R51"/>
    <mergeCell ref="P49:R49"/>
    <mergeCell ref="AC52:AD52"/>
    <mergeCell ref="AC45:AE45"/>
    <mergeCell ref="AC48:AD48"/>
    <mergeCell ref="P47:R47"/>
    <mergeCell ref="AC47:AE47"/>
    <mergeCell ref="P48:Q48"/>
    <mergeCell ref="AC49:AE49"/>
    <mergeCell ref="B16:D16"/>
    <mergeCell ref="S30:U30"/>
    <mergeCell ref="B30:F30"/>
    <mergeCell ref="B36:D36"/>
    <mergeCell ref="L30:Q30"/>
    <mergeCell ref="E16:L16"/>
    <mergeCell ref="B38:W38"/>
    <mergeCell ref="M41:O41"/>
    <mergeCell ref="J46:L46"/>
    <mergeCell ref="S34:U34"/>
    <mergeCell ref="B40:C58"/>
    <mergeCell ref="E53:F53"/>
    <mergeCell ref="M48:N48"/>
    <mergeCell ref="M51:O51"/>
    <mergeCell ref="M52:N52"/>
    <mergeCell ref="G43:I43"/>
    <mergeCell ref="G41:I41"/>
    <mergeCell ref="H46:I46"/>
    <mergeCell ref="E41:F41"/>
    <mergeCell ref="E43:F43"/>
    <mergeCell ref="E45:F45"/>
    <mergeCell ref="B32:F32"/>
    <mergeCell ref="HN6:HO6"/>
    <mergeCell ref="N8:Q8"/>
    <mergeCell ref="S26:U26"/>
    <mergeCell ref="AC46:AD46"/>
    <mergeCell ref="P46:Q46"/>
    <mergeCell ref="S28:U28"/>
    <mergeCell ref="L28:Q28"/>
    <mergeCell ref="P26:Q26"/>
    <mergeCell ref="S36:U36"/>
    <mergeCell ref="N34:Q34"/>
    <mergeCell ref="N36:O36"/>
    <mergeCell ref="J40:L40"/>
    <mergeCell ref="M40:O40"/>
    <mergeCell ref="P40:R40"/>
    <mergeCell ref="J41:L41"/>
    <mergeCell ref="J45:L45"/>
    <mergeCell ref="J43:L43"/>
    <mergeCell ref="C34:M34"/>
    <mergeCell ref="J19:M27"/>
    <mergeCell ref="B27:E27"/>
    <mergeCell ref="E40:F40"/>
    <mergeCell ref="B20:E20"/>
    <mergeCell ref="F20:I20"/>
    <mergeCell ref="G35:I36"/>
    <mergeCell ref="IC12:ID12"/>
    <mergeCell ref="HL9:HL12"/>
    <mergeCell ref="N20:Q20"/>
    <mergeCell ref="HR12:HT16"/>
    <mergeCell ref="I10:L10"/>
    <mergeCell ref="S20:U20"/>
    <mergeCell ref="HL8:HO8"/>
    <mergeCell ref="S10:U10"/>
    <mergeCell ref="M16:Q16"/>
    <mergeCell ref="B14:W14"/>
    <mergeCell ref="A2:B12"/>
    <mergeCell ref="I12:L12"/>
    <mergeCell ref="O10:Q10"/>
    <mergeCell ref="F10:G10"/>
    <mergeCell ref="G2:P2"/>
    <mergeCell ref="HL4:HO4"/>
    <mergeCell ref="S4:U4"/>
    <mergeCell ref="F8:G8"/>
    <mergeCell ref="G4:P4"/>
    <mergeCell ref="S6:U6"/>
    <mergeCell ref="S8:U8"/>
    <mergeCell ref="I8:L8"/>
    <mergeCell ref="M6:Q6"/>
    <mergeCell ref="F6:G6"/>
    <mergeCell ref="F123:K125"/>
    <mergeCell ref="M65:O65"/>
    <mergeCell ref="M47:O47"/>
    <mergeCell ref="M49:O49"/>
    <mergeCell ref="M57:O57"/>
    <mergeCell ref="E61:F62"/>
    <mergeCell ref="K67:L67"/>
    <mergeCell ref="M85:O85"/>
    <mergeCell ref="M77:O77"/>
    <mergeCell ref="F95:P96"/>
    <mergeCell ref="P90:R90"/>
    <mergeCell ref="M87:O88"/>
    <mergeCell ref="G81:J81"/>
    <mergeCell ref="M79:O79"/>
    <mergeCell ref="G77:J77"/>
    <mergeCell ref="E81:F81"/>
    <mergeCell ref="B98:W102"/>
    <mergeCell ref="S107:U111"/>
    <mergeCell ref="B93:D97"/>
    <mergeCell ref="P53:R53"/>
    <mergeCell ref="S79:U79"/>
    <mergeCell ref="P73:R73"/>
    <mergeCell ref="S75:U75"/>
    <mergeCell ref="P75:R75"/>
    <mergeCell ref="G179:I179"/>
    <mergeCell ref="Q172:R172"/>
    <mergeCell ref="Q173:R173"/>
    <mergeCell ref="P67:R67"/>
    <mergeCell ref="P69:R69"/>
    <mergeCell ref="P71:R71"/>
    <mergeCell ref="G182:I182"/>
    <mergeCell ref="G181:I181"/>
    <mergeCell ref="G176:I176"/>
    <mergeCell ref="O172:P172"/>
    <mergeCell ref="M177:N177"/>
    <mergeCell ref="M173:N173"/>
    <mergeCell ref="M172:N172"/>
    <mergeCell ref="O175:P175"/>
    <mergeCell ref="O178:P178"/>
    <mergeCell ref="G172:I172"/>
    <mergeCell ref="M182:N182"/>
    <mergeCell ref="J166:L166"/>
    <mergeCell ref="G160:I160"/>
    <mergeCell ref="G165:I165"/>
    <mergeCell ref="J169:L169"/>
    <mergeCell ref="J167:L167"/>
    <mergeCell ref="J168:L168"/>
    <mergeCell ref="J164:L164"/>
    <mergeCell ref="Q183:R183"/>
    <mergeCell ref="O189:P189"/>
    <mergeCell ref="O181:P181"/>
    <mergeCell ref="O186:P186"/>
    <mergeCell ref="Q174:R174"/>
    <mergeCell ref="Q146:R147"/>
    <mergeCell ref="O153:P153"/>
    <mergeCell ref="O177:P177"/>
    <mergeCell ref="O176:P176"/>
    <mergeCell ref="O187:P187"/>
    <mergeCell ref="Q186:R186"/>
    <mergeCell ref="Q188:R188"/>
    <mergeCell ref="Q187:R187"/>
    <mergeCell ref="Q184:R184"/>
    <mergeCell ref="Q182:R182"/>
    <mergeCell ref="Q153:R153"/>
    <mergeCell ref="O157:P157"/>
    <mergeCell ref="O170:P170"/>
    <mergeCell ref="Q175:R175"/>
    <mergeCell ref="Q190:R190"/>
    <mergeCell ref="Q189:R189"/>
    <mergeCell ref="O185:P185"/>
    <mergeCell ref="Q185:R185"/>
    <mergeCell ref="E83:F83"/>
    <mergeCell ref="O148:P149"/>
    <mergeCell ref="J170:L170"/>
    <mergeCell ref="J178:L178"/>
    <mergeCell ref="J176:L176"/>
    <mergeCell ref="J171:L171"/>
    <mergeCell ref="J182:L182"/>
    <mergeCell ref="J179:L179"/>
    <mergeCell ref="Q179:R179"/>
    <mergeCell ref="Q180:R180"/>
    <mergeCell ref="Q177:R177"/>
    <mergeCell ref="Q181:R181"/>
    <mergeCell ref="Q178:R178"/>
    <mergeCell ref="J189:L189"/>
    <mergeCell ref="J184:L184"/>
    <mergeCell ref="M184:N184"/>
    <mergeCell ref="M189:N189"/>
    <mergeCell ref="J187:L187"/>
    <mergeCell ref="M185:N185"/>
    <mergeCell ref="M188:N188"/>
    <mergeCell ref="O202:P202"/>
    <mergeCell ref="O201:P201"/>
    <mergeCell ref="O192:P192"/>
    <mergeCell ref="O179:P179"/>
    <mergeCell ref="O180:P180"/>
    <mergeCell ref="O191:P191"/>
    <mergeCell ref="O193:P193"/>
    <mergeCell ref="O182:P182"/>
    <mergeCell ref="O190:P190"/>
    <mergeCell ref="O203:P203"/>
    <mergeCell ref="O197:P197"/>
    <mergeCell ref="O198:P198"/>
    <mergeCell ref="O199:P199"/>
    <mergeCell ref="O200:P200"/>
    <mergeCell ref="O194:P194"/>
    <mergeCell ref="O196:P196"/>
    <mergeCell ref="O195:P195"/>
    <mergeCell ref="G171:I171"/>
    <mergeCell ref="J177:L177"/>
    <mergeCell ref="J173:L173"/>
    <mergeCell ref="J180:L180"/>
    <mergeCell ref="G173:I173"/>
    <mergeCell ref="G174:I174"/>
    <mergeCell ref="G178:I178"/>
    <mergeCell ref="G177:I177"/>
    <mergeCell ref="G180:I180"/>
    <mergeCell ref="M181:N181"/>
    <mergeCell ref="M180:N180"/>
    <mergeCell ref="M179:N179"/>
    <mergeCell ref="M178:N178"/>
    <mergeCell ref="M176:N176"/>
    <mergeCell ref="J181:L181"/>
    <mergeCell ref="M190:N190"/>
    <mergeCell ref="J190:L190"/>
    <mergeCell ref="G183:I183"/>
    <mergeCell ref="G184:I184"/>
    <mergeCell ref="G185:I185"/>
    <mergeCell ref="O184:P184"/>
    <mergeCell ref="M171:N171"/>
    <mergeCell ref="M175:N175"/>
    <mergeCell ref="J172:L172"/>
    <mergeCell ref="J174:L174"/>
    <mergeCell ref="M174:N174"/>
    <mergeCell ref="M183:N183"/>
    <mergeCell ref="G188:I188"/>
    <mergeCell ref="O188:P188"/>
    <mergeCell ref="J188:L188"/>
    <mergeCell ref="J186:L186"/>
    <mergeCell ref="O183:P183"/>
    <mergeCell ref="J183:L183"/>
    <mergeCell ref="G187:I187"/>
    <mergeCell ref="G190:I190"/>
    <mergeCell ref="G189:I189"/>
    <mergeCell ref="J185:L185"/>
    <mergeCell ref="G186:I186"/>
    <mergeCell ref="M187:N187"/>
    <mergeCell ref="M186:N186"/>
    <mergeCell ref="G155:I155"/>
    <mergeCell ref="E85:F85"/>
    <mergeCell ref="M69:O69"/>
    <mergeCell ref="N107:R111"/>
    <mergeCell ref="P85:R85"/>
    <mergeCell ref="P83:R83"/>
    <mergeCell ref="G71:J71"/>
    <mergeCell ref="E88:J88"/>
    <mergeCell ref="M151:N151"/>
    <mergeCell ref="J155:L155"/>
    <mergeCell ref="J151:L151"/>
    <mergeCell ref="Q155:R155"/>
    <mergeCell ref="Q151:R151"/>
    <mergeCell ref="F148:F149"/>
    <mergeCell ref="M148:N149"/>
    <mergeCell ref="G153:I153"/>
    <mergeCell ref="G148:I149"/>
    <mergeCell ref="G152:I152"/>
    <mergeCell ref="G151:I151"/>
    <mergeCell ref="J152:L152"/>
    <mergeCell ref="M75:O75"/>
    <mergeCell ref="F112:I114"/>
    <mergeCell ref="G79:J79"/>
    <mergeCell ref="P77:R77"/>
    <mergeCell ref="G169:I169"/>
    <mergeCell ref="G168:I168"/>
    <mergeCell ref="G166:I166"/>
    <mergeCell ref="M161:N161"/>
    <mergeCell ref="M160:N160"/>
    <mergeCell ref="J157:L157"/>
    <mergeCell ref="Q157:R157"/>
    <mergeCell ref="Q158:R158"/>
    <mergeCell ref="O158:P158"/>
    <mergeCell ref="M158:N158"/>
    <mergeCell ref="O160:P160"/>
    <mergeCell ref="J160:L160"/>
    <mergeCell ref="Q160:R160"/>
    <mergeCell ref="G164:I164"/>
    <mergeCell ref="G163:I163"/>
    <mergeCell ref="M169:N169"/>
    <mergeCell ref="M167:N167"/>
    <mergeCell ref="O167:P167"/>
    <mergeCell ref="M168:N168"/>
    <mergeCell ref="O168:P168"/>
    <mergeCell ref="O169:P169"/>
    <mergeCell ref="M166:N166"/>
    <mergeCell ref="O166:P166"/>
    <mergeCell ref="O164:P164"/>
    <mergeCell ref="M164:N164"/>
    <mergeCell ref="M162:N162"/>
    <mergeCell ref="M165:N165"/>
    <mergeCell ref="O155:P155"/>
    <mergeCell ref="J161:L161"/>
    <mergeCell ref="Q161:R161"/>
    <mergeCell ref="O159:P159"/>
    <mergeCell ref="O161:P161"/>
    <mergeCell ref="O165:P165"/>
    <mergeCell ref="O162:P162"/>
    <mergeCell ref="J156:L156"/>
    <mergeCell ref="O156:P156"/>
    <mergeCell ref="Q156:R156"/>
    <mergeCell ref="M155:N155"/>
    <mergeCell ref="Q159:R159"/>
    <mergeCell ref="M159:N159"/>
    <mergeCell ref="M163:N163"/>
  </mergeCells>
  <phoneticPr fontId="2" type="noConversion"/>
  <conditionalFormatting sqref="T90">
    <cfRule type="expression" dxfId="30" priority="37" stopIfTrue="1">
      <formula>#REF!&lt;&gt;S6</formula>
    </cfRule>
  </conditionalFormatting>
  <conditionalFormatting sqref="V28:W29 S29 U29">
    <cfRule type="expression" dxfId="29" priority="38" stopIfTrue="1">
      <formula>NOT(ISERROR(SEARCH("ERRO",S28)))</formula>
    </cfRule>
  </conditionalFormatting>
  <conditionalFormatting sqref="S63 S65 S67 F95 S83 S79 S73 S71 S69">
    <cfRule type="cellIs" dxfId="28" priority="39" stopIfTrue="1" operator="equal">
      <formula>"OK"</formula>
    </cfRule>
  </conditionalFormatting>
  <conditionalFormatting sqref="F151:F190">
    <cfRule type="cellIs" dxfId="27" priority="40" stopIfTrue="1" operator="equal">
      <formula>$AN$112</formula>
    </cfRule>
  </conditionalFormatting>
  <conditionalFormatting sqref="S83:T83 S81:T81">
    <cfRule type="cellIs" dxfId="26" priority="41" stopIfTrue="1" operator="equal">
      <formula>"OK"</formula>
    </cfRule>
    <cfRule type="cellIs" dxfId="25" priority="42" stopIfTrue="1" operator="equal">
      <formula>""</formula>
    </cfRule>
  </conditionalFormatting>
  <conditionalFormatting sqref="G35:I36">
    <cfRule type="expression" dxfId="24" priority="50" stopIfTrue="1">
      <formula>$G$35&lt;&gt;"ok"</formula>
    </cfRule>
  </conditionalFormatting>
  <conditionalFormatting sqref="S4:U4">
    <cfRule type="cellIs" dxfId="23" priority="51" stopIfTrue="1" operator="equal">
      <formula>"Imóvel fora do PMCMV"</formula>
    </cfRule>
  </conditionalFormatting>
  <conditionalFormatting sqref="U83 U81">
    <cfRule type="cellIs" dxfId="22" priority="65" stopIfTrue="1" operator="equal">
      <formula>"Parc. Máx. Excedido"</formula>
    </cfRule>
  </conditionalFormatting>
  <conditionalFormatting sqref="S85 S91:U91">
    <cfRule type="cellIs" dxfId="21" priority="92" stopIfTrue="1" operator="equal">
      <formula>"Ok"</formula>
    </cfRule>
  </conditionalFormatting>
  <conditionalFormatting sqref="E89">
    <cfRule type="containsText" dxfId="20" priority="26" stopIfTrue="1" operator="containsText" text="Pró- Soluto">
      <formula>NOT(ISERROR(SEARCH("Pró- Soluto",E89)))</formula>
    </cfRule>
  </conditionalFormatting>
  <conditionalFormatting sqref="E89:J90">
    <cfRule type="cellIs" dxfId="19" priority="25" stopIfTrue="1" operator="equal">
      <formula>"Pró-Soluto acima do permitido"</formula>
    </cfRule>
  </conditionalFormatting>
  <conditionalFormatting sqref="B59">
    <cfRule type="cellIs" dxfId="18" priority="18" stopIfTrue="1" operator="equal">
      <formula>"Cliente não pode utilizar Tabela PRICE"</formula>
    </cfRule>
  </conditionalFormatting>
  <conditionalFormatting sqref="B98">
    <cfRule type="cellIs" dxfId="17" priority="17" stopIfTrue="1" operator="equal">
      <formula>"Cliente não pode utilizar Tabela PRICE"</formula>
    </cfRule>
  </conditionalFormatting>
  <conditionalFormatting sqref="I33">
    <cfRule type="containsText" dxfId="16" priority="16" stopIfTrue="1" operator="containsText" text="Não Permitido">
      <formula>NOT(ISERROR(SEARCH("Não Permitido",I33)))</formula>
    </cfRule>
  </conditionalFormatting>
  <conditionalFormatting sqref="S75">
    <cfRule type="cellIs" dxfId="15" priority="15" stopIfTrue="1" operator="equal">
      <formula>"OK"</formula>
    </cfRule>
  </conditionalFormatting>
  <conditionalFormatting sqref="S77">
    <cfRule type="cellIs" dxfId="14" priority="13" stopIfTrue="1" operator="equal">
      <formula>"OK"</formula>
    </cfRule>
  </conditionalFormatting>
  <conditionalFormatting sqref="S69">
    <cfRule type="cellIs" dxfId="13" priority="12" stopIfTrue="1" operator="equal">
      <formula>"OK"</formula>
    </cfRule>
  </conditionalFormatting>
  <conditionalFormatting sqref="G2:P2">
    <cfRule type="containsText" dxfId="12" priority="10" operator="containsText" text="Para Renda Superior a R$ 5.500,00 utilizar Somente TABELA SAC">
      <formula>NOT(ISERROR(SEARCH("Para Renda Superior a R$ 5.500,00 utilizar Somente TABELA SAC",G2)))</formula>
    </cfRule>
  </conditionalFormatting>
  <conditionalFormatting sqref="J19:L26">
    <cfRule type="cellIs" dxfId="11" priority="9" stopIfTrue="1" operator="equal">
      <formula>"cliente fora do PMCMV, mudar p/ SAC"</formula>
    </cfRule>
  </conditionalFormatting>
  <conditionalFormatting sqref="C34">
    <cfRule type="containsText" dxfId="10" priority="7" stopIfTrue="1" operator="containsText" text="Price">
      <formula>NOT(ISERROR(SEARCH("Price",C34)))</formula>
    </cfRule>
    <cfRule type="cellIs" dxfId="9" priority="8" stopIfTrue="1" operator="equal">
      <formula>"Price - Financia Somente em 240 meses"</formula>
    </cfRule>
  </conditionalFormatting>
  <conditionalFormatting sqref="C34:M34">
    <cfRule type="containsText" dxfId="8" priority="6" stopIfTrue="1" operator="containsText" text="Renda até R$ 5.000,00 Price - Financia Até 360 meses - Superior à R$ 5.000,00 somente em 240 meses">
      <formula>NOT(ISERROR(SEARCH("Renda até R$ 5.000,00 Price - Financia Até 360 meses - Superior à R$ 5.000,00 somente em 240 meses",C34)))</formula>
    </cfRule>
  </conditionalFormatting>
  <conditionalFormatting sqref="G1">
    <cfRule type="expression" dxfId="7" priority="23">
      <formula>$G$1="TABELA PRICE"</formula>
    </cfRule>
    <cfRule type="expression" dxfId="6" priority="24">
      <formula>$G$1="TABELA SAC"</formula>
    </cfRule>
  </conditionalFormatting>
  <conditionalFormatting sqref="E91">
    <cfRule type="containsText" dxfId="5" priority="4" stopIfTrue="1" operator="containsText" text="Pró- Soluto">
      <formula>NOT(ISERROR(SEARCH("Pró- Soluto",E91)))</formula>
    </cfRule>
  </conditionalFormatting>
  <conditionalFormatting sqref="E92:J92 E91">
    <cfRule type="cellIs" dxfId="4" priority="3" stopIfTrue="1" operator="equal">
      <formula>"Pró-Soluto acima do permitido"</formula>
    </cfRule>
  </conditionalFormatting>
  <dataValidations count="26">
    <dataValidation type="decimal" operator="lessThanOrEqual" allowBlank="1" showErrorMessage="1" error="Valor superior ao permitido." sqref="P88:R88">
      <formula1>S28</formula1>
    </dataValidation>
    <dataValidation type="decimal" operator="lessThanOrEqual" allowBlank="1" showErrorMessage="1" sqref="G85:J85">
      <formula1>AK85</formula1>
    </dataValidation>
    <dataValidation type="list" allowBlank="1" showInputMessage="1" showErrorMessage="1" sqref="D71 D83 D73 D81 D47 D49 D51 D77 D75">
      <formula1>$GY$38:$GY$46</formula1>
    </dataValidation>
    <dataValidation allowBlank="1" showInputMessage="1" showErrorMessage="1" errorTitle="seu burro" sqref="IA73 IA75 IA77"/>
    <dataValidation allowBlank="1" showInputMessage="1" showErrorMessage="1" error="Opção Inválida!" sqref="E36"/>
    <dataValidation type="list" allowBlank="1" showInputMessage="1" showErrorMessage="1" error="Seleção Inválida!" sqref="T88">
      <formula1>$AB$71:$AB$72</formula1>
    </dataValidation>
    <dataValidation type="list" allowBlank="1" showInputMessage="1" showErrorMessage="1" sqref="D69">
      <formula1>$GY$38:$GY$47</formula1>
    </dataValidation>
    <dataValidation type="whole" operator="lessThanOrEqual" allowBlank="1" showInputMessage="1" showErrorMessage="1" promptTitle="Parcelas Anuais" prompt="A última parcela anual não deve ultrapassar março/2020." sqref="E75:F75">
      <formula1>3</formula1>
    </dataValidation>
    <dataValidation type="whole" operator="lessThanOrEqual" allowBlank="1" showErrorMessage="1" promptTitle="Parcelas Mensais" prompt="A quantidade de parcelas mensais não pode ultrapassar de _x000a_" sqref="E73:F73">
      <formula1>D91</formula1>
    </dataValidation>
    <dataValidation type="whole" operator="lessThan" allowBlank="1" showInputMessage="1" showErrorMessage="1" sqref="K73:L73">
      <formula1>5</formula1>
    </dataValidation>
    <dataValidation type="date" operator="greaterThan" allowBlank="1" showInputMessage="1" showErrorMessage="1" sqref="M75:O75">
      <formula1>M87</formula1>
    </dataValidation>
    <dataValidation errorStyle="warning" operator="lessThanOrEqual" allowBlank="1" error="Valor do FGTS superior ao permitido e necessário." prompt="Preencher se tiver depósitos de FGTS há mais de 3 anos. _x000a_" sqref="S20:U21"/>
    <dataValidation type="list" allowBlank="1" showInputMessage="1" showErrorMessage="1" sqref="S16">
      <formula1>$IP$85:$IP$115</formula1>
    </dataValidation>
    <dataValidation type="list" allowBlank="1" showInputMessage="1" showErrorMessage="1" sqref="T16">
      <formula1>$IQ$85:$IQ$96</formula1>
    </dataValidation>
    <dataValidation type="list" allowBlank="1" showInputMessage="1" showErrorMessage="1" sqref="U16">
      <formula1>$IR$85:$IR$157</formula1>
    </dataValidation>
    <dataValidation type="list" errorStyle="warning" allowBlank="1" showInputMessage="1" error="Prazo excedido!" sqref="G30">
      <formula1>IF(AND(G1="TABELA PRICE",G32="Sim"),$IO$85:$IO$87,$IO$85:$IO$89)</formula1>
    </dataValidation>
    <dataValidation type="list" allowBlank="1" showInputMessage="1" showErrorMessage="1" error="CADASTRA EMPRESA DE VENDAS" sqref="S8:U8">
      <formula1>$HF$5:$HF$6</formula1>
    </dataValidation>
    <dataValidation type="list" allowBlank="1" showInputMessage="1" showErrorMessage="1" sqref="G1:H1">
      <formula1>$AB$20:$AB$21</formula1>
    </dataValidation>
    <dataValidation type="list" allowBlank="1" showInputMessage="1" showErrorMessage="1" sqref="D25">
      <formula1>$G$22:$I$22</formula1>
    </dataValidation>
    <dataValidation allowBlank="1" showInputMessage="1" showErrorMessage="1" error="CADASTRAR EMPREENDIMENTO EM &quot;DADOS DOS EMPREENDIMENTOS&quot;" sqref="G4:P4"/>
    <dataValidation type="whole" operator="greaterThanOrEqual" allowBlank="1" showInputMessage="1" showErrorMessage="1" sqref="E24">
      <formula1>0</formula1>
    </dataValidation>
    <dataValidation allowBlank="1" showInputMessage="1" showErrorMessage="1" prompt="No caso de apenas 1 comprador, verificar se o cliente possui dependente comprovado. Se sim, preencher como 2 proponentes para aumento do subsídio." sqref="C22:C23"/>
    <dataValidation errorStyle="warning" allowBlank="1" showInputMessage="1" error="Prazo excedido!" sqref="H31:Y32 G31 H30:I30"/>
    <dataValidation type="list" allowBlank="1" showInputMessage="1" showErrorMessage="1" sqref="I6">
      <formula1>INDIRECT("APOIO!$C$9:$C$243")</formula1>
    </dataValidation>
    <dataValidation type="list" allowBlank="1" showInputMessage="1" showErrorMessage="1" sqref="E23 G32">
      <formula1>INDIRECT("APOIO!H1:H2")</formula1>
    </dataValidation>
    <dataValidation type="list" allowBlank="1" showInputMessage="1" showErrorMessage="1" sqref="E21:E22">
      <formula1>$G$22:$H$22</formula1>
    </dataValidation>
  </dataValidations>
  <printOptions horizontalCentered="1" verticalCentered="1"/>
  <pageMargins left="0.64" right="0.51181102362204722" top="0.35" bottom="0.28000000000000003" header="0.31496062992125984" footer="0.31496062992125984"/>
  <pageSetup paperSize="9" scale="29" orientation="portrait" r:id="rId1"/>
  <headerFooter alignWithMargins="0"/>
  <cellWatches>
    <cellWatch r="T16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Apoio!$C$9:$C$243</xm:f>
          </x14:formula1>
          <xm:sqref>I6</xm:sqref>
        </x14:dataValidation>
        <x14:dataValidation type="list" allowBlank="1" showInputMessage="1" showErrorMessage="1">
          <x14:formula1>
            <xm:f>Plan5!$A$1:$A$2</xm:f>
          </x14:formula1>
          <xm:sqref>E23 G32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indexed="62"/>
    <pageSetUpPr fitToPage="1"/>
  </sheetPr>
  <dimension ref="A1:W58"/>
  <sheetViews>
    <sheetView showGridLines="0" zoomScale="85" zoomScaleNormal="85" zoomScaleSheetLayoutView="100" workbookViewId="0">
      <selection activeCell="J30" sqref="J30"/>
    </sheetView>
  </sheetViews>
  <sheetFormatPr defaultColWidth="9.7109375" defaultRowHeight="12.75" x14ac:dyDescent="0.2"/>
  <cols>
    <col min="1" max="1" width="1.85546875" style="176" customWidth="1"/>
    <col min="2" max="2" width="7.7109375" style="204" bestFit="1" customWidth="1"/>
    <col min="3" max="3" width="10.28515625" style="205" bestFit="1" customWidth="1"/>
    <col min="4" max="4" width="8.42578125" style="206" customWidth="1"/>
    <col min="5" max="5" width="9.7109375" style="176" customWidth="1"/>
    <col min="6" max="6" width="29.85546875" style="176" customWidth="1"/>
    <col min="7" max="7" width="12" style="176" customWidth="1"/>
    <col min="8" max="8" width="11" style="205" customWidth="1"/>
    <col min="9" max="9" width="1.28515625" style="205" customWidth="1"/>
    <col min="10" max="10" width="23.140625" style="205" customWidth="1"/>
    <col min="11" max="11" width="11" style="176" customWidth="1"/>
    <col min="12" max="12" width="14.5703125" style="176" bestFit="1" customWidth="1"/>
    <col min="13" max="13" width="28" style="176" bestFit="1" customWidth="1"/>
    <col min="14" max="14" width="11.5703125" style="176" bestFit="1" customWidth="1"/>
    <col min="15" max="15" width="24.42578125" style="176" bestFit="1" customWidth="1"/>
    <col min="16" max="16" width="34.85546875" style="176" bestFit="1" customWidth="1"/>
    <col min="17" max="18" width="9.7109375" style="176" customWidth="1"/>
    <col min="19" max="19" width="30.140625" style="176" bestFit="1" customWidth="1"/>
    <col min="20" max="20" width="14.28515625" style="176" customWidth="1"/>
    <col min="21" max="21" width="9.7109375" style="176" customWidth="1"/>
    <col min="22" max="22" width="23.42578125" style="176" bestFit="1" customWidth="1"/>
    <col min="23" max="16384" width="9.7109375" style="176"/>
  </cols>
  <sheetData>
    <row r="1" spans="1:23" ht="23.25" customHeight="1" x14ac:dyDescent="0.2">
      <c r="J1" s="207" t="s">
        <v>204</v>
      </c>
    </row>
    <row r="2" spans="1:23" s="210" customFormat="1" ht="40.5" customHeight="1" thickBot="1" x14ac:dyDescent="0.25">
      <c r="B2" s="1031" t="s">
        <v>0</v>
      </c>
      <c r="C2" s="1031"/>
      <c r="D2" s="209" t="s">
        <v>3</v>
      </c>
      <c r="F2" s="174" t="s">
        <v>9</v>
      </c>
      <c r="G2" s="211" t="s">
        <v>110</v>
      </c>
      <c r="H2" s="208" t="s">
        <v>111</v>
      </c>
      <c r="I2" s="205"/>
      <c r="J2" s="212" t="s">
        <v>136</v>
      </c>
      <c r="K2" s="176"/>
      <c r="L2" s="1038" t="s">
        <v>104</v>
      </c>
      <c r="M2" s="1038"/>
      <c r="N2" s="1038"/>
      <c r="O2" s="1039"/>
      <c r="P2" s="1039"/>
      <c r="Q2" s="1039"/>
      <c r="S2" s="1047" t="s">
        <v>96</v>
      </c>
      <c r="T2" s="1047"/>
    </row>
    <row r="3" spans="1:23" ht="13.5" thickBot="1" x14ac:dyDescent="0.25">
      <c r="B3" s="551"/>
      <c r="C3" s="575">
        <v>0.01</v>
      </c>
      <c r="D3" s="576">
        <v>5.5E-2</v>
      </c>
      <c r="F3" s="213" t="s">
        <v>5</v>
      </c>
      <c r="G3" s="214">
        <v>240000</v>
      </c>
      <c r="H3" s="215">
        <v>240000</v>
      </c>
      <c r="J3" s="216">
        <f>Apoio!E4</f>
        <v>240000</v>
      </c>
      <c r="L3" s="217" t="s">
        <v>92</v>
      </c>
      <c r="M3" s="218" t="s">
        <v>26</v>
      </c>
      <c r="N3" s="219" t="s">
        <v>25</v>
      </c>
      <c r="O3" s="220">
        <f>'Simulador CEF'!G30</f>
        <v>240</v>
      </c>
      <c r="P3" s="1036" t="s">
        <v>105</v>
      </c>
      <c r="Q3" s="1037"/>
      <c r="S3" s="222"/>
      <c r="T3" s="222"/>
      <c r="V3" s="1051" t="s">
        <v>146</v>
      </c>
      <c r="W3" s="1052"/>
    </row>
    <row r="4" spans="1:23" s="225" customFormat="1" ht="13.5" thickBot="1" x14ac:dyDescent="0.25">
      <c r="B4" s="551"/>
      <c r="C4" s="575">
        <v>2600</v>
      </c>
      <c r="D4" s="576">
        <v>5.5E-2</v>
      </c>
      <c r="E4" s="223"/>
      <c r="F4" s="213" t="s">
        <v>6</v>
      </c>
      <c r="G4" s="224">
        <v>27500</v>
      </c>
      <c r="H4" s="214">
        <v>27500</v>
      </c>
      <c r="I4" s="205"/>
      <c r="J4" s="1053" t="s">
        <v>147</v>
      </c>
      <c r="L4" s="226" t="e">
        <f>(#REF!-#REF!)*M9</f>
        <v>#REF!</v>
      </c>
      <c r="M4" s="227" t="e">
        <f>(#REF!-#REF!)*M9</f>
        <v>#REF!</v>
      </c>
      <c r="N4" s="228" t="e">
        <f>(#REF!-#REF!)*N9</f>
        <v>#REF!</v>
      </c>
      <c r="O4" s="312">
        <f>IF(J11-J13&gt;(G29*J11),J13*O9,J11*(1-G29)*O9)</f>
        <v>185774.99850000002</v>
      </c>
      <c r="P4" s="230" t="s">
        <v>23</v>
      </c>
      <c r="Q4" s="230"/>
      <c r="S4" s="231">
        <v>240</v>
      </c>
      <c r="T4" s="232"/>
      <c r="V4" s="233" t="s">
        <v>27</v>
      </c>
      <c r="W4" s="234">
        <f>IF('Simulador CEF'!S20&lt;&gt;0,1,0)</f>
        <v>0</v>
      </c>
    </row>
    <row r="5" spans="1:23" x14ac:dyDescent="0.2">
      <c r="B5" s="551"/>
      <c r="C5" s="575">
        <v>3000</v>
      </c>
      <c r="D5" s="576">
        <v>0.06</v>
      </c>
      <c r="E5" s="223"/>
      <c r="F5" s="213" t="s">
        <v>11</v>
      </c>
      <c r="G5" s="214"/>
      <c r="H5" s="235"/>
      <c r="J5" s="1054"/>
      <c r="L5" s="226" t="e">
        <f>#REF!-'Simulador CEF'!S20-'Premissas e Calculos'!G17-#REF!</f>
        <v>#REF!</v>
      </c>
      <c r="M5" s="227" t="e">
        <f>#REF!-'Simulador CEF'!S20-'Premissas e Calculos'!G17-#REF!</f>
        <v>#REF!</v>
      </c>
      <c r="N5" s="228" t="e">
        <f>#REF!-'Simulador CEF'!S20-'Premissas e Calculos'!G17-#REF!</f>
        <v>#REF!</v>
      </c>
      <c r="O5" s="229">
        <f>IF(J11-J13&gt;(G29*J11),J13-J21-'Premissas e Calculos'!J17,J11-J21-'Premissas e Calculos'!J17-G29*J11)</f>
        <v>206416.66500000001</v>
      </c>
      <c r="P5" s="230" t="s">
        <v>99</v>
      </c>
      <c r="Q5" s="230"/>
      <c r="S5" s="236">
        <v>300</v>
      </c>
      <c r="T5" s="237"/>
    </row>
    <row r="6" spans="1:23" ht="13.5" thickBot="1" x14ac:dyDescent="0.25">
      <c r="B6" s="551"/>
      <c r="C6" s="575">
        <v>3600</v>
      </c>
      <c r="D6" s="576">
        <v>7.0000000000000007E-2</v>
      </c>
      <c r="E6" s="223"/>
      <c r="F6" s="213" t="s">
        <v>8</v>
      </c>
      <c r="G6" s="214"/>
      <c r="H6" s="238"/>
      <c r="J6" s="77">
        <f>'Simulador CEF'!F20</f>
        <v>6500</v>
      </c>
      <c r="L6" s="226" t="e">
        <f>IF(#REF!="","",((#REF!)/((1/#REF!)+('Premissas e Calculos'!J9/12))))</f>
        <v>#REF!</v>
      </c>
      <c r="M6" s="227">
        <f ca="1">(($M$17)/((1/M8)+('Premissas e Calculos'!J9/12)))</f>
        <v>184427.90247678015</v>
      </c>
      <c r="N6" s="228">
        <f ca="1">((M17)/((1/N8)+('Premissas e Calculos'!J9/12)))</f>
        <v>170413.62417307348</v>
      </c>
      <c r="O6" s="229">
        <f ca="1">IF(P15=1,((M17)/((1/J19)+('Premissas e Calculos'!J9/12))),M17*(((J9/12)+1)^J19-1)/((J9/12)*(1+(J9/12))^J19))</f>
        <v>170413.62417307348</v>
      </c>
      <c r="P6" s="230" t="s">
        <v>24</v>
      </c>
      <c r="Q6" s="230"/>
      <c r="S6" s="239">
        <f>IF('Premissas e Calculos'!J6&lt;=2790,"",360)</f>
        <v>360</v>
      </c>
      <c r="T6" s="240"/>
    </row>
    <row r="7" spans="1:23" x14ac:dyDescent="0.2">
      <c r="B7" s="241"/>
      <c r="C7" s="575">
        <v>6500</v>
      </c>
      <c r="D7" s="576">
        <v>8.1600000000000006E-2</v>
      </c>
      <c r="E7" s="223"/>
      <c r="F7" s="242" t="s">
        <v>12</v>
      </c>
      <c r="G7" s="235"/>
      <c r="H7" s="235"/>
      <c r="J7" s="1040" t="s">
        <v>158</v>
      </c>
      <c r="L7" s="226" t="e">
        <f>#REF!*(1-#REF!)</f>
        <v>#REF!</v>
      </c>
      <c r="M7" s="227" t="e">
        <f>#REF!*(1-#REF!)</f>
        <v>#REF!</v>
      </c>
      <c r="N7" s="243" t="e">
        <f>#REF!*(1-#REF!)</f>
        <v>#REF!</v>
      </c>
      <c r="O7" s="244">
        <f>J11*(1-G29)</f>
        <v>206416.66500000001</v>
      </c>
      <c r="P7" s="230" t="s">
        <v>28</v>
      </c>
      <c r="Q7" s="230"/>
      <c r="S7" s="245" t="s">
        <v>98</v>
      </c>
      <c r="T7" s="246" t="s">
        <v>97</v>
      </c>
    </row>
    <row r="8" spans="1:23" ht="13.5" thickBot="1" x14ac:dyDescent="0.25">
      <c r="B8" s="552" t="s">
        <v>2</v>
      </c>
      <c r="C8" s="577"/>
      <c r="D8" s="578"/>
      <c r="E8" s="223"/>
      <c r="F8" s="247" t="s">
        <v>109</v>
      </c>
      <c r="G8" s="248"/>
      <c r="H8" s="235"/>
      <c r="J8" s="1040"/>
      <c r="L8" s="249">
        <v>360</v>
      </c>
      <c r="M8" s="250">
        <v>300</v>
      </c>
      <c r="N8" s="251">
        <v>240</v>
      </c>
      <c r="O8" s="221">
        <f>J19</f>
        <v>240</v>
      </c>
      <c r="P8" s="1032" t="s">
        <v>134</v>
      </c>
      <c r="Q8" s="1033"/>
      <c r="S8" s="233">
        <f>IF(AND('Premissas e Calculos'!J6&lt;=G14,T8=3),2,T8)</f>
        <v>3</v>
      </c>
      <c r="T8" s="252">
        <v>3</v>
      </c>
    </row>
    <row r="9" spans="1:23" s="225" customFormat="1" x14ac:dyDescent="0.2">
      <c r="A9" s="176"/>
      <c r="B9" s="204"/>
      <c r="C9" s="205"/>
      <c r="D9" s="206"/>
      <c r="E9" s="223"/>
      <c r="F9" s="247" t="s">
        <v>106</v>
      </c>
      <c r="G9" s="248"/>
      <c r="H9" s="235"/>
      <c r="I9" s="205"/>
      <c r="J9" s="78">
        <f>IF(J6&lt;=C4,D4,IF(J6&lt;=C5,D5,IF(J6&lt;=C6,D6,IF(J6&lt;=C7,D7,IF(J6&lt;=C8,D8,10.48%)))))</f>
        <v>8.1600000000000006E-2</v>
      </c>
      <c r="K9" s="69"/>
      <c r="L9" s="253">
        <f>M9</f>
        <v>0.9</v>
      </c>
      <c r="M9" s="254">
        <f>N9</f>
        <v>0.9</v>
      </c>
      <c r="N9" s="254">
        <f>O9</f>
        <v>0.9</v>
      </c>
      <c r="O9" s="255">
        <f>IF('Simulador CEF'!$G$1="TABELA SAC",90%,80%)</f>
        <v>0.9</v>
      </c>
      <c r="P9" s="1034"/>
      <c r="Q9" s="1035"/>
      <c r="S9" s="11"/>
      <c r="T9" s="11"/>
    </row>
    <row r="10" spans="1:23" ht="13.5" thickBot="1" x14ac:dyDescent="0.25">
      <c r="E10" s="223"/>
      <c r="F10" s="247" t="s">
        <v>107</v>
      </c>
      <c r="G10" s="256"/>
      <c r="H10" s="235"/>
      <c r="J10" s="257" t="s">
        <v>22</v>
      </c>
      <c r="L10" s="1041"/>
      <c r="M10" s="1042"/>
      <c r="N10" s="1043"/>
      <c r="O10" s="258">
        <f ca="1">SMALL(O4:O7,1)</f>
        <v>170413.62417307348</v>
      </c>
      <c r="S10" s="11" t="e">
        <f>#REF!+#REF!+G17+'Simulador CEF'!S20=#REF!</f>
        <v>#REF!</v>
      </c>
      <c r="T10" s="11" t="e">
        <f>#REF!=#REF!+#REF!+'Simulador CEF'!S20+G17</f>
        <v>#REF!</v>
      </c>
    </row>
    <row r="11" spans="1:23" x14ac:dyDescent="0.2">
      <c r="E11" s="223"/>
      <c r="F11" s="213" t="s">
        <v>4</v>
      </c>
      <c r="G11" s="259">
        <v>4.4499999999999998E-2</v>
      </c>
      <c r="H11" s="259">
        <f>G11</f>
        <v>4.4499999999999998E-2</v>
      </c>
      <c r="J11" s="260">
        <f>'Simulador CEF'!S6</f>
        <v>216030</v>
      </c>
      <c r="S11" s="261"/>
      <c r="T11" s="160"/>
    </row>
    <row r="12" spans="1:23" ht="25.5" x14ac:dyDescent="0.2">
      <c r="B12" s="683" t="s">
        <v>566</v>
      </c>
      <c r="C12" s="683" t="s">
        <v>567</v>
      </c>
      <c r="E12" s="223"/>
      <c r="F12" s="213" t="s">
        <v>7</v>
      </c>
      <c r="G12" s="259">
        <v>0.3</v>
      </c>
      <c r="H12" s="259">
        <f>G12</f>
        <v>0.3</v>
      </c>
      <c r="J12" s="257" t="s">
        <v>21</v>
      </c>
      <c r="L12" s="176">
        <f>J3/(1-G29)</f>
        <v>251177.39403453688</v>
      </c>
      <c r="S12" s="262"/>
      <c r="T12" s="160"/>
    </row>
    <row r="13" spans="1:23" s="225" customFormat="1" ht="25.5" x14ac:dyDescent="0.2">
      <c r="A13" s="176"/>
      <c r="B13" s="682"/>
      <c r="C13" s="682">
        <v>0.7</v>
      </c>
      <c r="D13" s="206"/>
      <c r="E13" s="223"/>
      <c r="F13" s="213" t="s">
        <v>13</v>
      </c>
      <c r="G13" s="263">
        <v>937</v>
      </c>
      <c r="H13" s="263">
        <f>SM</f>
        <v>937</v>
      </c>
      <c r="I13" s="205"/>
      <c r="J13" s="260">
        <f>VLOOKUP('Simulador CEF'!I6,Apoio!C9:E243,3,FALSE)</f>
        <v>225000</v>
      </c>
      <c r="K13" s="176"/>
      <c r="O13" s="264" t="s">
        <v>165</v>
      </c>
      <c r="P13" s="558">
        <f>O4*G32</f>
        <v>183359.92351950001</v>
      </c>
      <c r="S13" s="11"/>
      <c r="T13" s="11"/>
    </row>
    <row r="14" spans="1:23" x14ac:dyDescent="0.2">
      <c r="B14" s="205">
        <v>29000</v>
      </c>
      <c r="C14" s="205">
        <f>B14*$C$13</f>
        <v>20300</v>
      </c>
      <c r="E14" s="223"/>
      <c r="F14" s="266" t="s">
        <v>95</v>
      </c>
      <c r="G14" s="267">
        <f>6*G13</f>
        <v>5622</v>
      </c>
      <c r="H14" s="267">
        <f>G14</f>
        <v>5622</v>
      </c>
      <c r="J14" s="268"/>
      <c r="O14" s="269">
        <v>420</v>
      </c>
      <c r="P14" s="559">
        <f>125*0.96*0.96</f>
        <v>115.19999999999999</v>
      </c>
      <c r="S14" s="11"/>
      <c r="T14" s="11"/>
    </row>
    <row r="15" spans="1:23" ht="18" x14ac:dyDescent="0.2">
      <c r="B15" s="205">
        <v>14775</v>
      </c>
      <c r="C15" s="205">
        <f>B15*$C$13</f>
        <v>10342.5</v>
      </c>
      <c r="E15" s="223"/>
      <c r="F15" s="266" t="s">
        <v>108</v>
      </c>
      <c r="G15" s="270">
        <v>0.06</v>
      </c>
      <c r="H15" s="270">
        <f>INCC</f>
        <v>0.06</v>
      </c>
      <c r="J15" s="1040" t="s">
        <v>135</v>
      </c>
      <c r="O15" s="271" t="s">
        <v>125</v>
      </c>
      <c r="P15" s="560">
        <f>'Simulador CEF'!Z20</f>
        <v>1</v>
      </c>
      <c r="Q15" s="272"/>
    </row>
    <row r="16" spans="1:23" ht="18" x14ac:dyDescent="0.2">
      <c r="B16" s="205">
        <v>6115</v>
      </c>
      <c r="C16" s="205">
        <f>B16*$C$13</f>
        <v>4280.5</v>
      </c>
      <c r="E16" s="223"/>
      <c r="F16" s="266" t="s">
        <v>19</v>
      </c>
      <c r="G16" s="270">
        <v>0.8</v>
      </c>
      <c r="H16" s="270">
        <f>OBRA_VGV</f>
        <v>0.8</v>
      </c>
      <c r="J16" s="1040"/>
      <c r="L16" s="230" t="s">
        <v>102</v>
      </c>
      <c r="M16" s="230" t="s">
        <v>103</v>
      </c>
      <c r="O16" s="273">
        <f ca="1">IF('Simulador CEF'!IV85+'Premissas e Calculos'!O14+J28&lt;=972,'Premissas e Calculos'!O14,(972-'Simulador CEF'!IV85-J28))</f>
        <v>420</v>
      </c>
      <c r="P16" s="274"/>
      <c r="Q16" s="274"/>
    </row>
    <row r="17" spans="1:18" x14ac:dyDescent="0.2">
      <c r="B17" s="205">
        <v>2585</v>
      </c>
      <c r="C17" s="205">
        <f>B17*$C$13</f>
        <v>1809.4999999999998</v>
      </c>
      <c r="E17" s="223"/>
      <c r="F17" s="275" t="s">
        <v>1</v>
      </c>
      <c r="G17" s="276">
        <f>IF(OR('Simulador CEF'!D26=2,'Simulador CEF'!E23="SIM"),IF(J6&lt;=1800,B14,IF(J6&lt;2349.99,B14-(B14-B15)*(J6-1800)/550,IF(J6&lt;2789.99,B15-(B15-B16)*(J6-2350)/440,IF(J6&lt;3274.99,B16-(B16-B17)*(J6-2790)/485,IF(J6&lt;=3600,B17,0))))),IF('Simulador CEF'!D26=1,IF(J6&lt;=1800,C14,IF(J6&lt;2349.99,C14-(C14-C15)*(J6-1800)/550,IF(J6&lt;2789.99,C15-(C15-C16)*(J6-2350)/440,IF(J6&lt;3274.99,C16-(C16-C17)*(J6-2790)/485,IF(J6&lt;=3600,C17,0)))))))</f>
        <v>0</v>
      </c>
      <c r="H17" s="276">
        <f>G17</f>
        <v>0</v>
      </c>
      <c r="J17" s="277">
        <f>IF('Simulador CEF'!E36="sim",IF(AND(J11*(1-G29)&lt;=J3,J13&lt;=J3),IF(J3=VMI,G17,H17),0),0)</f>
        <v>0</v>
      </c>
      <c r="L17" s="278">
        <f ca="1">((J6*'Premissas e Calculos'!G12)-IF(J6&gt;2790,H19,0))/(1+Q32)</f>
        <v>1890.5294117647059</v>
      </c>
      <c r="M17" s="279">
        <f ca="1">IF(J6&lt;='Premissas e Calculos'!G20,'Premissas e Calculos'!L17,'Premissas e Calculos'!L17-'Premissas e Calculos'!G19)</f>
        <v>1868.8694117647058</v>
      </c>
      <c r="O17" s="280"/>
      <c r="P17" s="160"/>
      <c r="Q17" s="160"/>
    </row>
    <row r="18" spans="1:18" ht="25.5" customHeight="1" x14ac:dyDescent="0.2">
      <c r="E18" s="223"/>
      <c r="J18" s="257" t="s">
        <v>122</v>
      </c>
      <c r="L18" s="1049" t="s">
        <v>173</v>
      </c>
      <c r="M18" s="1050"/>
      <c r="P18" s="261"/>
      <c r="Q18" s="261"/>
    </row>
    <row r="19" spans="1:18" s="225" customFormat="1" x14ac:dyDescent="0.2">
      <c r="A19" s="176"/>
      <c r="B19" s="204"/>
      <c r="C19" s="205"/>
      <c r="D19" s="206"/>
      <c r="E19" s="223" t="s">
        <v>290</v>
      </c>
      <c r="F19" s="263" t="s">
        <v>144</v>
      </c>
      <c r="G19" s="263">
        <v>21.66</v>
      </c>
      <c r="H19" s="263">
        <f>G19</f>
        <v>21.66</v>
      </c>
      <c r="I19" s="205"/>
      <c r="J19" s="281">
        <f>O3</f>
        <v>240</v>
      </c>
      <c r="K19" s="176"/>
      <c r="L19" s="282">
        <f>J6*0.9*G12</f>
        <v>1755</v>
      </c>
      <c r="M19" s="282">
        <f>IF(J6&lt;='Premissas e Calculos'!G20,'Premissas e Calculos'!L19,'Premissas e Calculos'!L19-'Premissas e Calculos'!G19)+J33*70%/12</f>
        <v>1733.34</v>
      </c>
    </row>
    <row r="20" spans="1:18" x14ac:dyDescent="0.2">
      <c r="E20" s="223" t="s">
        <v>290</v>
      </c>
      <c r="F20" s="263" t="s">
        <v>145</v>
      </c>
      <c r="G20" s="283">
        <f>G14</f>
        <v>5622</v>
      </c>
      <c r="H20" s="283">
        <f>G20</f>
        <v>5622</v>
      </c>
      <c r="J20" s="257" t="s">
        <v>10</v>
      </c>
    </row>
    <row r="21" spans="1:18" x14ac:dyDescent="0.2">
      <c r="E21" s="223"/>
      <c r="J21" s="284">
        <f>'Simulador CEF'!S20</f>
        <v>0</v>
      </c>
      <c r="M21" s="702"/>
    </row>
    <row r="22" spans="1:18" ht="31.5" customHeight="1" x14ac:dyDescent="0.2">
      <c r="E22" s="223"/>
      <c r="J22" s="285"/>
      <c r="M22" s="702"/>
      <c r="O22" s="349" t="s">
        <v>266</v>
      </c>
      <c r="P22" s="349" t="s">
        <v>267</v>
      </c>
      <c r="Q22" s="349" t="s">
        <v>268</v>
      </c>
      <c r="R22" s="349" t="s">
        <v>20</v>
      </c>
    </row>
    <row r="23" spans="1:18" x14ac:dyDescent="0.2">
      <c r="E23" s="223"/>
      <c r="J23" s="285"/>
      <c r="M23" s="702"/>
      <c r="O23" s="350">
        <v>0</v>
      </c>
      <c r="P23" s="351">
        <v>1.5</v>
      </c>
      <c r="Q23" s="351">
        <v>0.5</v>
      </c>
      <c r="R23" s="351">
        <f>Q23+P23</f>
        <v>2</v>
      </c>
    </row>
    <row r="24" spans="1:18" x14ac:dyDescent="0.2">
      <c r="E24" s="223"/>
      <c r="J24" s="257" t="s">
        <v>200</v>
      </c>
      <c r="L24" s="286"/>
      <c r="M24" s="286"/>
      <c r="N24" s="286"/>
      <c r="O24" s="350">
        <f>25 + 1/10^6</f>
        <v>25.000001000000001</v>
      </c>
      <c r="P24" s="352">
        <v>1.54</v>
      </c>
      <c r="Q24" s="351">
        <v>0.5</v>
      </c>
      <c r="R24" s="351">
        <f t="shared" ref="R24:R29" si="0">Q24+P24</f>
        <v>2.04</v>
      </c>
    </row>
    <row r="25" spans="1:18" s="225" customFormat="1" x14ac:dyDescent="0.2">
      <c r="A25" s="176"/>
      <c r="B25" s="204"/>
      <c r="C25" s="205"/>
      <c r="D25" s="206"/>
      <c r="E25" s="223"/>
      <c r="F25" s="1030" t="s">
        <v>183</v>
      </c>
      <c r="G25" s="1044">
        <v>0.04</v>
      </c>
      <c r="H25" s="287"/>
      <c r="I25" s="205"/>
      <c r="J25" s="288">
        <f>MINA(J11*(1-G25)-J17,J13)</f>
        <v>207388.79999999999</v>
      </c>
      <c r="K25" s="176"/>
      <c r="L25" s="265"/>
      <c r="M25" s="265"/>
      <c r="N25" s="265"/>
      <c r="O25" s="350">
        <f>30+ 1/10^6</f>
        <v>30.000001000000001</v>
      </c>
      <c r="P25" s="352">
        <v>1.64</v>
      </c>
      <c r="Q25" s="351">
        <v>0.5</v>
      </c>
      <c r="R25" s="351">
        <f t="shared" si="0"/>
        <v>2.1399999999999997</v>
      </c>
    </row>
    <row r="26" spans="1:18" ht="23.25" x14ac:dyDescent="0.2">
      <c r="F26" s="1030"/>
      <c r="G26" s="1045"/>
      <c r="J26" s="285"/>
      <c r="L26" s="311"/>
      <c r="M26" s="348"/>
      <c r="N26" s="348"/>
      <c r="O26" s="350">
        <f>35+ 1/10^6</f>
        <v>35.000000999999997</v>
      </c>
      <c r="P26" s="352">
        <v>1.82</v>
      </c>
      <c r="Q26" s="351">
        <v>0.5</v>
      </c>
      <c r="R26" s="351">
        <f t="shared" si="0"/>
        <v>2.3200000000000003</v>
      </c>
    </row>
    <row r="27" spans="1:18" x14ac:dyDescent="0.2">
      <c r="F27" s="1030"/>
      <c r="G27" s="1046"/>
      <c r="J27" s="257" t="s">
        <v>202</v>
      </c>
      <c r="L27" s="311"/>
      <c r="M27" s="286"/>
      <c r="N27" s="286"/>
      <c r="O27" s="350">
        <f>40+ 1/10^6</f>
        <v>40.000000999999997</v>
      </c>
      <c r="P27" s="352">
        <v>2.59</v>
      </c>
      <c r="Q27" s="351">
        <v>0.5</v>
      </c>
      <c r="R27" s="351">
        <f t="shared" si="0"/>
        <v>3.09</v>
      </c>
    </row>
    <row r="28" spans="1:18" x14ac:dyDescent="0.2">
      <c r="E28" s="176" t="s">
        <v>290</v>
      </c>
      <c r="J28" s="284">
        <v>36</v>
      </c>
      <c r="L28" s="286"/>
      <c r="M28" s="286"/>
      <c r="N28" s="286"/>
      <c r="O28" s="350">
        <f>45+ 1/10^6</f>
        <v>45.000000999999997</v>
      </c>
      <c r="P28" s="352">
        <v>3.02</v>
      </c>
      <c r="Q28" s="351">
        <v>0.5</v>
      </c>
      <c r="R28" s="351">
        <f t="shared" si="0"/>
        <v>3.52</v>
      </c>
    </row>
    <row r="29" spans="1:18" s="225" customFormat="1" x14ac:dyDescent="0.2">
      <c r="A29" s="176"/>
      <c r="B29" s="204"/>
      <c r="C29" s="205"/>
      <c r="D29" s="206"/>
      <c r="E29" s="225" t="s">
        <v>290</v>
      </c>
      <c r="F29" s="290" t="s">
        <v>4</v>
      </c>
      <c r="G29" s="386">
        <v>4.4499999999999998E-2</v>
      </c>
      <c r="H29" s="287"/>
      <c r="I29" s="205"/>
      <c r="J29" s="289" t="s">
        <v>18</v>
      </c>
      <c r="K29" s="176"/>
      <c r="M29" s="341" t="s">
        <v>259</v>
      </c>
      <c r="O29" s="350">
        <f>50+ 1/10^6</f>
        <v>50.000000999999997</v>
      </c>
      <c r="P29" s="351">
        <v>6.64</v>
      </c>
      <c r="Q29" s="351">
        <v>0.5</v>
      </c>
      <c r="R29" s="351">
        <f t="shared" si="0"/>
        <v>7.14</v>
      </c>
    </row>
    <row r="30" spans="1:18" x14ac:dyDescent="0.2">
      <c r="E30" s="176" t="s">
        <v>290</v>
      </c>
      <c r="J30" s="703">
        <v>4</v>
      </c>
      <c r="M30" s="401" t="s">
        <v>309</v>
      </c>
    </row>
    <row r="31" spans="1:18" x14ac:dyDescent="0.2">
      <c r="J31" s="285"/>
      <c r="M31" s="401" t="s">
        <v>308</v>
      </c>
      <c r="O31" s="349" t="s">
        <v>269</v>
      </c>
      <c r="P31" s="349" t="s">
        <v>270</v>
      </c>
      <c r="Q31" s="349" t="s">
        <v>271</v>
      </c>
      <c r="R31" s="349" t="s">
        <v>272</v>
      </c>
    </row>
    <row r="32" spans="1:18" ht="25.5" x14ac:dyDescent="0.2">
      <c r="F32" s="290" t="s">
        <v>230</v>
      </c>
      <c r="G32" s="382">
        <f>IF(P15=1,98.7%,97.5%)</f>
        <v>0.98699999999999999</v>
      </c>
      <c r="J32" s="291" t="s">
        <v>207</v>
      </c>
      <c r="O32" s="353">
        <f ca="1">'Simulador CEF'!IV85</f>
        <v>254</v>
      </c>
      <c r="P32" s="354">
        <f ca="1">(O32+J30+2)/12</f>
        <v>21.666666666666668</v>
      </c>
      <c r="Q32" s="355">
        <f ca="1">VLOOKUP(P32,O23:R29,4,TRUE)/100</f>
        <v>0.02</v>
      </c>
      <c r="R32" s="353">
        <f ca="1">(J6*'Premissas e Calculos'!G12)*Q32</f>
        <v>39</v>
      </c>
    </row>
    <row r="33" spans="1:18" ht="51" customHeight="1" x14ac:dyDescent="0.2">
      <c r="J33" s="235"/>
      <c r="O33" s="1048" t="s">
        <v>273</v>
      </c>
      <c r="P33" s="1048"/>
      <c r="Q33" s="1048"/>
      <c r="R33" s="1048"/>
    </row>
    <row r="34" spans="1:18" s="225" customFormat="1" x14ac:dyDescent="0.2">
      <c r="A34" s="176"/>
      <c r="B34" s="204"/>
      <c r="C34" s="205"/>
      <c r="D34" s="206"/>
      <c r="E34" s="292"/>
      <c r="H34" s="287"/>
      <c r="I34" s="205"/>
      <c r="J34" s="268"/>
      <c r="K34" s="176"/>
      <c r="M34" s="176"/>
    </row>
    <row r="35" spans="1:18" ht="16.5" customHeight="1" x14ac:dyDescent="0.2">
      <c r="F35" s="290" t="s">
        <v>240</v>
      </c>
      <c r="G35" s="299">
        <v>0.3</v>
      </c>
      <c r="J35" s="285"/>
    </row>
    <row r="36" spans="1:18" x14ac:dyDescent="0.2">
      <c r="J36" s="285"/>
    </row>
    <row r="37" spans="1:18" x14ac:dyDescent="0.2">
      <c r="J37" s="285"/>
    </row>
    <row r="38" spans="1:18" x14ac:dyDescent="0.2">
      <c r="F38" s="342" t="s">
        <v>258</v>
      </c>
      <c r="G38" s="420">
        <f ca="1">EOMONTH(TODAY(),0)</f>
        <v>43830</v>
      </c>
      <c r="J38" s="285"/>
    </row>
    <row r="39" spans="1:18" s="225" customFormat="1" x14ac:dyDescent="0.2">
      <c r="A39" s="176"/>
      <c r="B39" s="204"/>
      <c r="C39" s="205"/>
      <c r="D39" s="206"/>
      <c r="H39" s="287"/>
      <c r="I39" s="205"/>
      <c r="J39" s="268"/>
      <c r="K39" s="176"/>
      <c r="M39" s="176"/>
    </row>
    <row r="40" spans="1:18" x14ac:dyDescent="0.2">
      <c r="J40" s="285"/>
    </row>
    <row r="41" spans="1:18" x14ac:dyDescent="0.2">
      <c r="J41" s="285"/>
    </row>
    <row r="42" spans="1:18" x14ac:dyDescent="0.2">
      <c r="J42" s="285"/>
    </row>
    <row r="43" spans="1:18" x14ac:dyDescent="0.2">
      <c r="J43" s="285"/>
    </row>
    <row r="44" spans="1:18" x14ac:dyDescent="0.2">
      <c r="E44" s="176" t="s">
        <v>290</v>
      </c>
      <c r="J44" s="285"/>
    </row>
    <row r="45" spans="1:18" x14ac:dyDescent="0.2">
      <c r="E45" s="176" t="s">
        <v>290</v>
      </c>
      <c r="J45" s="285"/>
    </row>
    <row r="46" spans="1:18" x14ac:dyDescent="0.2">
      <c r="J46" s="285"/>
    </row>
    <row r="47" spans="1:18" x14ac:dyDescent="0.2">
      <c r="J47" s="285"/>
    </row>
    <row r="48" spans="1:18" x14ac:dyDescent="0.2">
      <c r="J48" s="285"/>
    </row>
    <row r="49" spans="10:11" ht="13.5" thickBot="1" x14ac:dyDescent="0.25">
      <c r="J49" s="293"/>
    </row>
    <row r="58" spans="10:11" x14ac:dyDescent="0.2">
      <c r="K58" s="343"/>
    </row>
  </sheetData>
  <sheetProtection algorithmName="SHA-512" hashValue="g/3eUfEV1NMc9SPDZRenkLrxq53PUNS1/24k/DCdi2A4kIuY01ilNO9doDQTz3vmEKFndIPkjpwswLUiS30U4w==" saltValue="+jWQtTCCizRe6SvIaZGbkQ==" spinCount="100000" sheet="1" objects="1" scenarios="1"/>
  <mergeCells count="14">
    <mergeCell ref="S2:T2"/>
    <mergeCell ref="O33:R33"/>
    <mergeCell ref="L18:M18"/>
    <mergeCell ref="V3:W3"/>
    <mergeCell ref="J4:J5"/>
    <mergeCell ref="J7:J8"/>
    <mergeCell ref="F25:F27"/>
    <mergeCell ref="B2:C2"/>
    <mergeCell ref="P8:Q9"/>
    <mergeCell ref="P3:Q3"/>
    <mergeCell ref="L2:Q2"/>
    <mergeCell ref="J15:J16"/>
    <mergeCell ref="L10:N10"/>
    <mergeCell ref="G25:G27"/>
  </mergeCells>
  <phoneticPr fontId="2" type="noConversion"/>
  <printOptions horizontalCentered="1"/>
  <pageMargins left="0.11811023622047245" right="0.11811023622047245" top="0.26" bottom="0.11811023622047245" header="0.11811023622047245" footer="3.937007874015748E-2"/>
  <pageSetup scale="83" orientation="landscape" r:id="rId1"/>
  <headerFooter alignWithMargins="0"/>
  <ignoredErrors>
    <ignoredError sqref="H1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AA90"/>
  <sheetViews>
    <sheetView showGridLines="0" topLeftCell="E19" zoomScale="80" zoomScaleNormal="80" workbookViewId="0">
      <selection activeCell="H48" sqref="H48"/>
    </sheetView>
  </sheetViews>
  <sheetFormatPr defaultRowHeight="12.75" x14ac:dyDescent="0.2"/>
  <cols>
    <col min="1" max="1" width="2" style="534" customWidth="1"/>
    <col min="2" max="2" width="2.85546875" style="433" customWidth="1"/>
    <col min="3" max="3" width="7.7109375" style="433" customWidth="1"/>
    <col min="4" max="4" width="11.28515625" style="433" customWidth="1"/>
    <col min="5" max="5" width="9.5703125" style="433" bestFit="1" customWidth="1"/>
    <col min="6" max="6" width="10.140625" style="433" bestFit="1" customWidth="1"/>
    <col min="7" max="7" width="15.5703125" style="433" customWidth="1"/>
    <col min="8" max="13" width="15.7109375" style="433" customWidth="1"/>
    <col min="14" max="15" width="9.28515625" style="433" customWidth="1"/>
    <col min="16" max="16" width="20.7109375" style="433" bestFit="1" customWidth="1"/>
    <col min="17" max="17" width="13.5703125" style="433" bestFit="1" customWidth="1"/>
    <col min="18" max="18" width="12.85546875" style="433" bestFit="1" customWidth="1"/>
    <col min="19" max="19" width="22.85546875" style="433" bestFit="1" customWidth="1"/>
    <col min="20" max="16384" width="9.140625" style="433"/>
  </cols>
  <sheetData>
    <row r="1" spans="1:27" ht="15.75" x14ac:dyDescent="0.25">
      <c r="A1" s="433" t="s">
        <v>29</v>
      </c>
      <c r="E1" s="434" t="s">
        <v>30</v>
      </c>
      <c r="F1" s="435"/>
      <c r="G1" s="435"/>
      <c r="H1" s="435"/>
      <c r="I1" s="435"/>
      <c r="J1" s="435"/>
      <c r="K1" s="435"/>
      <c r="L1" s="435"/>
      <c r="M1" s="435"/>
    </row>
    <row r="2" spans="1:27" ht="15.75" x14ac:dyDescent="0.25">
      <c r="A2" s="433" t="s">
        <v>29</v>
      </c>
      <c r="E2" s="434" t="s">
        <v>31</v>
      </c>
      <c r="F2" s="435"/>
      <c r="G2" s="435"/>
      <c r="H2" s="435"/>
      <c r="I2" s="435"/>
      <c r="J2" s="435"/>
      <c r="K2" s="435"/>
      <c r="L2" s="435"/>
      <c r="M2" s="435"/>
    </row>
    <row r="3" spans="1:27" ht="15.75" x14ac:dyDescent="0.25">
      <c r="A3" s="433" t="s">
        <v>29</v>
      </c>
      <c r="L3" s="1076">
        <f ca="1">NOW()</f>
        <v>43809.767476620371</v>
      </c>
      <c r="M3" s="1076"/>
      <c r="N3" s="1069" t="s">
        <v>32</v>
      </c>
      <c r="O3" s="1069"/>
    </row>
    <row r="4" spans="1:27" ht="15.75" thickBot="1" x14ac:dyDescent="0.25">
      <c r="A4" s="433" t="s">
        <v>29</v>
      </c>
      <c r="L4" s="436"/>
      <c r="M4" s="436"/>
      <c r="N4" s="437"/>
      <c r="O4" s="437"/>
    </row>
    <row r="5" spans="1:27" ht="15.75" thickTop="1" x14ac:dyDescent="0.2">
      <c r="A5" s="433" t="s">
        <v>29</v>
      </c>
      <c r="E5" s="438" t="s">
        <v>33</v>
      </c>
      <c r="F5" s="439"/>
      <c r="G5" s="440" t="str">
        <f>'Simulador CEF'!G4:P4</f>
        <v>Rocha</v>
      </c>
      <c r="H5" s="440"/>
      <c r="I5" s="441"/>
      <c r="J5" s="442" t="s">
        <v>34</v>
      </c>
      <c r="K5" s="439"/>
      <c r="L5" s="443" t="s">
        <v>35</v>
      </c>
      <c r="M5" s="444"/>
      <c r="N5" s="437"/>
      <c r="O5" s="437"/>
      <c r="Y5" s="433" t="s">
        <v>36</v>
      </c>
      <c r="Z5" s="433" t="s">
        <v>37</v>
      </c>
      <c r="AA5" s="433" t="s">
        <v>38</v>
      </c>
    </row>
    <row r="6" spans="1:27" ht="15" x14ac:dyDescent="0.2">
      <c r="A6" s="433" t="s">
        <v>29</v>
      </c>
      <c r="E6" s="445" t="s">
        <v>39</v>
      </c>
      <c r="F6" s="446"/>
      <c r="G6" s="446"/>
      <c r="H6" s="446"/>
      <c r="I6" s="447"/>
      <c r="J6" s="446" t="s">
        <v>40</v>
      </c>
      <c r="K6" s="446"/>
      <c r="L6" s="448"/>
      <c r="M6" s="449"/>
      <c r="N6" s="437"/>
      <c r="O6" s="437"/>
      <c r="Y6" s="433" t="s">
        <v>41</v>
      </c>
      <c r="Z6" s="433" t="s">
        <v>42</v>
      </c>
      <c r="AA6" s="433" t="s">
        <v>43</v>
      </c>
    </row>
    <row r="7" spans="1:27" ht="15" x14ac:dyDescent="0.2">
      <c r="A7" s="433" t="s">
        <v>29</v>
      </c>
      <c r="E7" s="445" t="s">
        <v>44</v>
      </c>
      <c r="F7" s="446"/>
      <c r="G7" s="450"/>
      <c r="H7" s="446"/>
      <c r="I7" s="447"/>
      <c r="J7" s="446" t="s">
        <v>45</v>
      </c>
      <c r="K7" s="446"/>
      <c r="L7" s="448"/>
      <c r="M7" s="449"/>
      <c r="N7" s="437"/>
      <c r="O7" s="437"/>
      <c r="Y7" s="433" t="s">
        <v>46</v>
      </c>
      <c r="AA7" s="433" t="s">
        <v>47</v>
      </c>
    </row>
    <row r="8" spans="1:27" ht="15.75" thickBot="1" x14ac:dyDescent="0.25">
      <c r="A8" s="433" t="s">
        <v>29</v>
      </c>
      <c r="E8" s="451"/>
      <c r="F8" s="452"/>
      <c r="G8" s="452"/>
      <c r="H8" s="452"/>
      <c r="I8" s="453"/>
      <c r="J8" s="454" t="s">
        <v>93</v>
      </c>
      <c r="K8" s="446"/>
      <c r="L8" s="448"/>
      <c r="M8" s="449"/>
      <c r="N8" s="437"/>
      <c r="O8" s="437"/>
      <c r="Y8" s="433" t="s">
        <v>48</v>
      </c>
      <c r="AA8" s="433" t="s">
        <v>49</v>
      </c>
    </row>
    <row r="9" spans="1:27" ht="16.5" thickTop="1" x14ac:dyDescent="0.25">
      <c r="A9" s="433" t="s">
        <v>29</v>
      </c>
      <c r="E9" s="445" t="s">
        <v>50</v>
      </c>
      <c r="F9" s="446"/>
      <c r="G9" s="633">
        <v>42767</v>
      </c>
      <c r="H9" s="438" t="s">
        <v>51</v>
      </c>
      <c r="I9" s="456">
        <v>0.09</v>
      </c>
      <c r="J9" s="438" t="s">
        <v>52</v>
      </c>
      <c r="K9" s="457">
        <f>G11</f>
        <v>43951</v>
      </c>
      <c r="L9" s="1077" t="s">
        <v>94</v>
      </c>
      <c r="M9" s="1078"/>
      <c r="Y9" s="433" t="s">
        <v>53</v>
      </c>
    </row>
    <row r="10" spans="1:27" ht="15" x14ac:dyDescent="0.2">
      <c r="A10" s="433" t="s">
        <v>29</v>
      </c>
      <c r="E10" s="445" t="s">
        <v>54</v>
      </c>
      <c r="F10" s="446"/>
      <c r="G10" s="455">
        <f ca="1">'Simulador CEF'!I12</f>
        <v>43809</v>
      </c>
      <c r="H10" s="445" t="s">
        <v>55</v>
      </c>
      <c r="I10" s="458">
        <v>0.12</v>
      </c>
      <c r="J10" s="445" t="s">
        <v>56</v>
      </c>
      <c r="K10" s="459">
        <f>G11</f>
        <v>43951</v>
      </c>
      <c r="L10" s="460"/>
      <c r="M10" s="461"/>
    </row>
    <row r="11" spans="1:27" ht="15.75" thickBot="1" x14ac:dyDescent="0.25">
      <c r="A11" s="433" t="s">
        <v>29</v>
      </c>
      <c r="E11" s="451" t="s">
        <v>57</v>
      </c>
      <c r="F11" s="452"/>
      <c r="G11" s="462">
        <f>'Simulador CEF'!S10</f>
        <v>43951</v>
      </c>
      <c r="H11" s="463" t="s">
        <v>58</v>
      </c>
      <c r="I11" s="464">
        <f>+J36</f>
        <v>216030.00000000003</v>
      </c>
      <c r="J11" s="451"/>
      <c r="K11" s="453"/>
      <c r="L11" s="465"/>
      <c r="M11" s="466"/>
    </row>
    <row r="12" spans="1:27" ht="13.5" thickTop="1" x14ac:dyDescent="0.2">
      <c r="A12" s="433" t="s">
        <v>29</v>
      </c>
      <c r="E12" s="467"/>
      <c r="F12" s="468"/>
      <c r="H12" s="469"/>
      <c r="I12" s="470"/>
    </row>
    <row r="13" spans="1:27" ht="16.5" thickBot="1" x14ac:dyDescent="0.3">
      <c r="A13" s="433" t="s">
        <v>29</v>
      </c>
      <c r="E13" s="434" t="s">
        <v>59</v>
      </c>
      <c r="F13" s="435"/>
      <c r="G13" s="435"/>
      <c r="H13" s="435"/>
      <c r="I13" s="435"/>
      <c r="J13" s="435"/>
      <c r="K13" s="435"/>
      <c r="L13" s="435"/>
      <c r="M13" s="435"/>
    </row>
    <row r="14" spans="1:27" ht="13.5" thickTop="1" x14ac:dyDescent="0.2">
      <c r="A14" s="433" t="s">
        <v>29</v>
      </c>
      <c r="E14" s="1072" t="s">
        <v>60</v>
      </c>
      <c r="F14" s="1072" t="s">
        <v>61</v>
      </c>
      <c r="G14" s="1072"/>
      <c r="H14" s="471" t="s">
        <v>62</v>
      </c>
      <c r="I14" s="1079" t="s">
        <v>63</v>
      </c>
      <c r="J14" s="1079"/>
      <c r="K14" s="1079" t="s">
        <v>64</v>
      </c>
      <c r="L14" s="1079"/>
      <c r="M14" s="1072" t="s">
        <v>65</v>
      </c>
    </row>
    <row r="15" spans="1:27" x14ac:dyDescent="0.2">
      <c r="A15" s="433" t="s">
        <v>29</v>
      </c>
      <c r="E15" s="1073"/>
      <c r="F15" s="1073"/>
      <c r="G15" s="1073"/>
      <c r="H15" s="472" t="s">
        <v>66</v>
      </c>
      <c r="I15" s="472" t="s">
        <v>67</v>
      </c>
      <c r="J15" s="472" t="s">
        <v>20</v>
      </c>
      <c r="K15" s="472" t="s">
        <v>67</v>
      </c>
      <c r="L15" s="472" t="s">
        <v>20</v>
      </c>
      <c r="M15" s="1073"/>
    </row>
    <row r="16" spans="1:27" x14ac:dyDescent="0.2">
      <c r="A16" s="433" t="str">
        <f t="shared" ref="A16:A36" si="0">IF(E16="","",IF(E16=0,"","*"))</f>
        <v>*</v>
      </c>
      <c r="B16" s="433" t="str">
        <f ca="1">IF(H16&lt;=$E$83,"A","B")</f>
        <v>A</v>
      </c>
      <c r="C16" s="469">
        <f>13589.79/388279.75</f>
        <v>3.4999996780671672E-2</v>
      </c>
      <c r="D16" s="473">
        <f t="shared" ref="D16:D35" si="1">IF(F16="Chaves",((1+$I$9)^(1/12)-1),IF(F16="Anual",$I$9,IF(F16="Semestral",((1+$I$9)^(1/2)-1),IF(F16="Mensal",((1+$I$9)^(1/12)-1),IF(F16="Sinal",0)))))</f>
        <v>0</v>
      </c>
      <c r="E16" s="474">
        <f>'Simulador CEF'!J41</f>
        <v>1</v>
      </c>
      <c r="F16" s="475" t="s">
        <v>53</v>
      </c>
      <c r="G16" s="476" t="s">
        <v>37</v>
      </c>
      <c r="H16" s="477">
        <f ca="1">'Simulador CEF'!G41</f>
        <v>43809</v>
      </c>
      <c r="I16" s="478">
        <f>'Simulador CEF'!M41</f>
        <v>2160.3000000000002</v>
      </c>
      <c r="J16" s="479">
        <f t="shared" ref="J16:J33" si="2">I16*E16</f>
        <v>2160.3000000000002</v>
      </c>
      <c r="K16" s="479">
        <f ca="1">IF(H16&lt;=$E$83,I16,   -PMT(D16,E16, (-FV(((1+$I$9)^(1/12)-1),( VLOOKUP(H16,Mês,2) ),,M16)),,1)       )</f>
        <v>2160.3000000000002</v>
      </c>
      <c r="L16" s="479">
        <f t="shared" ref="L16:L33" ca="1" si="3">K16*E16</f>
        <v>2160.3000000000002</v>
      </c>
      <c r="M16" s="479">
        <f t="shared" ref="M16:M35" ca="1" si="4">IF(E16="",0,IF(H16&lt;=$E$83,-PV(((1+$I$9)^(1/12)-1),( VLOOKUP(H16,Mês,2) ),,(-PV((IF(F16="Anual",$I$9,IF(F16="Semestral",((1+$I$9)^(1/2)-1),((1+$I$9)^(1/12)-1)))),E16,I16,,1)),1),-PV(((1+$I$9)^(1/12)-1),( VLOOKUP($E$83,Mês,2) ),,J16,1)))</f>
        <v>2160.3000000000002</v>
      </c>
      <c r="N16" s="470"/>
    </row>
    <row r="17" spans="1:16" x14ac:dyDescent="0.2">
      <c r="A17" s="433" t="str">
        <f>IF(E19="","",IF(E19=0,"","*"))</f>
        <v>*</v>
      </c>
      <c r="B17" s="433" t="str">
        <f t="shared" ref="B17:B35" ca="1" si="5">IF(H17&lt;=$E$83,"A","B")</f>
        <v>A</v>
      </c>
      <c r="C17" s="469">
        <f>8736.29/388279.75</f>
        <v>2.2499988732350838E-2</v>
      </c>
      <c r="D17" s="473">
        <f t="shared" si="1"/>
        <v>7.2073233161367156E-3</v>
      </c>
      <c r="E17" s="474">
        <f>'Simulador CEF'!J43</f>
        <v>1</v>
      </c>
      <c r="F17" s="475" t="s">
        <v>46</v>
      </c>
      <c r="G17" s="476" t="s">
        <v>37</v>
      </c>
      <c r="H17" s="477">
        <f ca="1">'Simulador CEF'!G43</f>
        <v>43840</v>
      </c>
      <c r="I17" s="478">
        <f>'Simulador CEF'!M43</f>
        <v>2160.3000000000002</v>
      </c>
      <c r="J17" s="479">
        <f t="shared" ref="J17:J23" si="6">I17*E17</f>
        <v>2160.3000000000002</v>
      </c>
      <c r="K17" s="479">
        <f ca="1">IF(H17&lt;=$E$83,I17,   -PMT(D17,E17, (-FV(((1+$I$9)^(1/12)-1),( VLOOKUP(H17,Mês,2) ),,M17)),,1)       )</f>
        <v>2160.3000000000002</v>
      </c>
      <c r="L17" s="479">
        <f t="shared" ref="L17:L23" ca="1" si="7">K17*E17</f>
        <v>2160.3000000000002</v>
      </c>
      <c r="M17" s="479">
        <f t="shared" ca="1" si="4"/>
        <v>2144.8414343210025</v>
      </c>
      <c r="N17" s="470"/>
    </row>
    <row r="18" spans="1:16" x14ac:dyDescent="0.2">
      <c r="A18" s="433" t="str">
        <f>IF(E20="","",IF(E20=0,"","*"))</f>
        <v/>
      </c>
      <c r="B18" s="433" t="str">
        <f t="shared" ca="1" si="5"/>
        <v>A</v>
      </c>
      <c r="C18" s="469">
        <f>8736.29/388279.75</f>
        <v>2.2499988732350838E-2</v>
      </c>
      <c r="D18" s="473">
        <f t="shared" si="1"/>
        <v>7.2073233161367156E-3</v>
      </c>
      <c r="E18" s="474">
        <f>'Simulador CEF'!J45</f>
        <v>3</v>
      </c>
      <c r="F18" s="475" t="s">
        <v>46</v>
      </c>
      <c r="G18" s="476" t="s">
        <v>42</v>
      </c>
      <c r="H18" s="477">
        <f ca="1">'Simulador CEF'!G45</f>
        <v>43871</v>
      </c>
      <c r="I18" s="478">
        <f>'Simulador CEF'!M45</f>
        <v>2160.2999999999997</v>
      </c>
      <c r="J18" s="479">
        <f t="shared" si="6"/>
        <v>6480.9</v>
      </c>
      <c r="K18" s="479">
        <f ca="1">IF(H18&lt;=$E$83,I18,   -PMT(D18,E18, (-FV(((1+$I$9)^(1/12)-1),( VLOOKUP(H18,Mês,2) ),,M18)),,1)       )</f>
        <v>2160.2999999999997</v>
      </c>
      <c r="L18" s="479">
        <f t="shared" ca="1" si="7"/>
        <v>6480.9</v>
      </c>
      <c r="M18" s="479">
        <f t="shared" ca="1" si="4"/>
        <v>6342.8751330317982</v>
      </c>
      <c r="N18" s="470"/>
    </row>
    <row r="19" spans="1:16" x14ac:dyDescent="0.2">
      <c r="A19" s="433" t="str">
        <f>IF(E21="","",IF(E21=0,"","*"))</f>
        <v>*</v>
      </c>
      <c r="B19" s="433" t="str">
        <f t="shared" ca="1" si="5"/>
        <v>A</v>
      </c>
      <c r="C19" s="469">
        <f>1698.72/388279.75</f>
        <v>4.3749899395989621E-3</v>
      </c>
      <c r="D19" s="473">
        <f t="shared" si="1"/>
        <v>0.09</v>
      </c>
      <c r="E19" s="474">
        <f>'Simulador CEF'!J47</f>
        <v>3</v>
      </c>
      <c r="F19" s="475" t="s">
        <v>36</v>
      </c>
      <c r="G19" s="476" t="s">
        <v>42</v>
      </c>
      <c r="H19" s="477">
        <f ca="1">'Simulador CEF'!G47</f>
        <v>43809</v>
      </c>
      <c r="I19" s="478">
        <f>'Simulador CEF'!M47</f>
        <v>0</v>
      </c>
      <c r="J19" s="479">
        <f t="shared" si="6"/>
        <v>0</v>
      </c>
      <c r="K19" s="479">
        <f ca="1">IF(H19&lt;=$E$83,I19,   -PMT(D17,E19, (-FV(((1+$I$9)^(1/12)-1),( VLOOKUP(H19,Mês,2) ),,M19)),,1)       )</f>
        <v>0</v>
      </c>
      <c r="L19" s="479">
        <f t="shared" ca="1" si="7"/>
        <v>0</v>
      </c>
      <c r="M19" s="479">
        <f t="shared" ca="1" si="4"/>
        <v>0</v>
      </c>
      <c r="N19" s="470"/>
    </row>
    <row r="20" spans="1:16" x14ac:dyDescent="0.2">
      <c r="A20" s="433" t="str">
        <f>IF(E22="","",IF(E22=0,"","*"))</f>
        <v>*</v>
      </c>
      <c r="B20" s="433" t="str">
        <f t="shared" ca="1" si="5"/>
        <v>A</v>
      </c>
      <c r="C20" s="469">
        <f>11648.39/388279.75</f>
        <v>2.9999993561343336E-2</v>
      </c>
      <c r="D20" s="473">
        <f t="shared" si="1"/>
        <v>7.2073233161367156E-3</v>
      </c>
      <c r="E20" s="474">
        <f>'Simulador CEF'!J49</f>
        <v>0</v>
      </c>
      <c r="F20" s="475" t="s">
        <v>46</v>
      </c>
      <c r="G20" s="476" t="s">
        <v>42</v>
      </c>
      <c r="H20" s="477">
        <f ca="1">'Simulador CEF'!G49</f>
        <v>43809</v>
      </c>
      <c r="I20" s="478">
        <f>'Simulador CEF'!M49</f>
        <v>0</v>
      </c>
      <c r="J20" s="479">
        <f t="shared" si="6"/>
        <v>0</v>
      </c>
      <c r="K20" s="479">
        <f ca="1">IF(H20&lt;=$E$83,I20,   -PMT(D18,E20, (-FV(((1+$I$9)^(1/12)-1),( VLOOKUP(H20,Mês,2) ),,M20)),,1)       )</f>
        <v>0</v>
      </c>
      <c r="L20" s="479">
        <f t="shared" ca="1" si="7"/>
        <v>0</v>
      </c>
      <c r="M20" s="479">
        <f t="shared" ca="1" si="4"/>
        <v>0</v>
      </c>
      <c r="N20" s="470"/>
    </row>
    <row r="21" spans="1:16" x14ac:dyDescent="0.2">
      <c r="A21" s="433" t="str">
        <f>IF(E23="","",IF(E23=0,"","*"))</f>
        <v>*</v>
      </c>
      <c r="B21" s="433" t="str">
        <f t="shared" ca="1" si="5"/>
        <v>B</v>
      </c>
      <c r="C21" s="469">
        <f>38827.96/388279.75</f>
        <v>9.9999961368060011E-2</v>
      </c>
      <c r="D21" s="473">
        <f t="shared" si="1"/>
        <v>7.2073233161367156E-3</v>
      </c>
      <c r="E21" s="474">
        <f>'Simulador CEF'!J51</f>
        <v>1</v>
      </c>
      <c r="F21" s="475" t="s">
        <v>46</v>
      </c>
      <c r="G21" s="476" t="s">
        <v>42</v>
      </c>
      <c r="H21" s="477">
        <f ca="1">'Simulador CEF'!G51</f>
        <v>43961</v>
      </c>
      <c r="I21" s="478">
        <f>'Simulador CEF'!M51</f>
        <v>32188.469999999998</v>
      </c>
      <c r="J21" s="479">
        <f t="shared" si="6"/>
        <v>32188.469999999998</v>
      </c>
      <c r="K21" s="479">
        <f ca="1">IF(H21&lt;=$E$83,I21,   -PMT(D19,E21, (-FV(((1+$I$9)^(1/12)-1),( VLOOKUP(H21,Mês,2) ),,M21)),,1)       )</f>
        <v>32420.462710341766</v>
      </c>
      <c r="L21" s="479">
        <f t="shared" ca="1" si="7"/>
        <v>32420.462710341766</v>
      </c>
      <c r="M21" s="479">
        <f t="shared" ca="1" si="4"/>
        <v>31276.981609002039</v>
      </c>
      <c r="N21" s="470"/>
    </row>
    <row r="22" spans="1:16" x14ac:dyDescent="0.2">
      <c r="A22" s="433" t="e">
        <f>IF(#REF!="","",IF(#REF!=0,"","*"))</f>
        <v>#REF!</v>
      </c>
      <c r="B22" s="433" t="str">
        <f t="shared" ca="1" si="5"/>
        <v>B</v>
      </c>
      <c r="C22" s="469">
        <f>1764.91/388279.75</f>
        <v>4.5454598134463623E-3</v>
      </c>
      <c r="D22" s="473">
        <f t="shared" si="1"/>
        <v>7.2073233161367156E-3</v>
      </c>
      <c r="E22" s="474">
        <f>'Simulador CEF'!J53</f>
        <v>1</v>
      </c>
      <c r="F22" s="475" t="s">
        <v>41</v>
      </c>
      <c r="G22" s="476" t="s">
        <v>42</v>
      </c>
      <c r="H22" s="477">
        <f ca="1">'Simulador CEF'!G53</f>
        <v>44905</v>
      </c>
      <c r="I22" s="478">
        <f>'Simulador CEF'!M53</f>
        <v>216.03</v>
      </c>
      <c r="J22" s="479">
        <f t="shared" si="6"/>
        <v>216.03</v>
      </c>
      <c r="K22" s="479">
        <f ca="1">IF(H22&lt;=$E$83,I22,   -PMT(D20,E22, (-FV(((1+$I$9)^(1/12)-1),( VLOOKUP(H22,Mês,2) ),,M22)),,1)       )</f>
        <v>271.84294104781372</v>
      </c>
      <c r="L22" s="479">
        <f t="shared" ca="1" si="7"/>
        <v>271.84294104781372</v>
      </c>
      <c r="M22" s="479">
        <f t="shared" ca="1" si="4"/>
        <v>209.91262824833584</v>
      </c>
      <c r="N22" s="480"/>
    </row>
    <row r="23" spans="1:16" x14ac:dyDescent="0.2">
      <c r="A23" s="433" t="e">
        <f>IF(#REF!="","",IF(#REF!=0,"","*"))</f>
        <v>#REF!</v>
      </c>
      <c r="B23" s="433" t="str">
        <f t="shared" ca="1" si="5"/>
        <v>A</v>
      </c>
      <c r="C23" s="469">
        <f>10677.69/388279.75</f>
        <v>2.7499991951679171E-2</v>
      </c>
      <c r="D23" s="473">
        <f t="shared" si="1"/>
        <v>7.2073233161367156E-3</v>
      </c>
      <c r="E23" s="474">
        <f>'Simulador CEF'!J55</f>
        <v>1</v>
      </c>
      <c r="F23" s="475" t="s">
        <v>41</v>
      </c>
      <c r="G23" s="476" t="s">
        <v>42</v>
      </c>
      <c r="H23" s="477">
        <f ca="1">'Simulador CEF'!G55</f>
        <v>43931</v>
      </c>
      <c r="I23" s="478">
        <f>'Simulador CEF'!M55</f>
        <v>172824.00000000003</v>
      </c>
      <c r="J23" s="479">
        <f t="shared" si="6"/>
        <v>172824.00000000003</v>
      </c>
      <c r="K23" s="479">
        <f ca="1">IF(H23&lt;=$E$83,I23,   -PMT(D21,E23, (-FV(((1+$I$9)^(1/12)-1),( VLOOKUP(H23,Mês,2) ),,M23)),,1)       )</f>
        <v>172824.00000000003</v>
      </c>
      <c r="L23" s="479">
        <f t="shared" ca="1" si="7"/>
        <v>172824.00000000003</v>
      </c>
      <c r="M23" s="479">
        <f t="shared" ca="1" si="4"/>
        <v>167930.10259866869</v>
      </c>
      <c r="N23" s="480"/>
      <c r="O23" s="481" t="s">
        <v>68</v>
      </c>
    </row>
    <row r="24" spans="1:16" x14ac:dyDescent="0.2">
      <c r="A24" s="433" t="str">
        <f t="shared" si="0"/>
        <v/>
      </c>
      <c r="B24" s="433" t="str">
        <f t="shared" si="5"/>
        <v>A</v>
      </c>
      <c r="C24" s="469">
        <f t="shared" ref="C24:C35" si="8">0/388279.75</f>
        <v>0</v>
      </c>
      <c r="D24" s="473" t="b">
        <f t="shared" si="1"/>
        <v>0</v>
      </c>
      <c r="E24" s="475"/>
      <c r="F24" s="475"/>
      <c r="G24" s="476"/>
      <c r="H24" s="476"/>
      <c r="I24" s="482"/>
      <c r="J24" s="482">
        <f t="shared" si="2"/>
        <v>0</v>
      </c>
      <c r="K24" s="479">
        <f t="shared" ref="K24:K35" si="9">IF(H24&lt;=$E$83,I24,   -PMT(D24,E24, (-FV(((1+$I$9)^(1/12)-1),( VLOOKUP(H24,Mês,2) ),,M24)),,1)       )</f>
        <v>0</v>
      </c>
      <c r="L24" s="479">
        <f t="shared" si="3"/>
        <v>0</v>
      </c>
      <c r="M24" s="479">
        <f t="shared" si="4"/>
        <v>0</v>
      </c>
      <c r="N24" s="480"/>
      <c r="O24" s="483"/>
      <c r="P24" s="483"/>
    </row>
    <row r="25" spans="1:16" x14ac:dyDescent="0.2">
      <c r="A25" s="433" t="str">
        <f t="shared" si="0"/>
        <v/>
      </c>
      <c r="B25" s="433" t="str">
        <f t="shared" si="5"/>
        <v>A</v>
      </c>
      <c r="C25" s="469">
        <f t="shared" si="8"/>
        <v>0</v>
      </c>
      <c r="D25" s="473" t="b">
        <f t="shared" si="1"/>
        <v>0</v>
      </c>
      <c r="E25" s="475"/>
      <c r="F25" s="475"/>
      <c r="G25" s="476"/>
      <c r="H25" s="476"/>
      <c r="I25" s="482"/>
      <c r="J25" s="482">
        <f t="shared" si="2"/>
        <v>0</v>
      </c>
      <c r="K25" s="479">
        <f t="shared" si="9"/>
        <v>0</v>
      </c>
      <c r="L25" s="479">
        <f t="shared" si="3"/>
        <v>0</v>
      </c>
      <c r="M25" s="479">
        <f t="shared" si="4"/>
        <v>0</v>
      </c>
      <c r="N25" s="480"/>
      <c r="O25" s="483"/>
      <c r="P25" s="483"/>
    </row>
    <row r="26" spans="1:16" x14ac:dyDescent="0.2">
      <c r="A26" s="433" t="str">
        <f t="shared" si="0"/>
        <v/>
      </c>
      <c r="B26" s="433" t="str">
        <f t="shared" si="5"/>
        <v>A</v>
      </c>
      <c r="C26" s="469">
        <f t="shared" si="8"/>
        <v>0</v>
      </c>
      <c r="D26" s="473" t="b">
        <f t="shared" si="1"/>
        <v>0</v>
      </c>
      <c r="E26" s="475"/>
      <c r="F26" s="475"/>
      <c r="G26" s="476"/>
      <c r="H26" s="476"/>
      <c r="I26" s="482"/>
      <c r="J26" s="482">
        <f t="shared" si="2"/>
        <v>0</v>
      </c>
      <c r="K26" s="479">
        <f t="shared" si="9"/>
        <v>0</v>
      </c>
      <c r="L26" s="479">
        <f t="shared" si="3"/>
        <v>0</v>
      </c>
      <c r="M26" s="479">
        <f t="shared" si="4"/>
        <v>0</v>
      </c>
      <c r="N26" s="480"/>
      <c r="O26" s="483"/>
      <c r="P26" s="483"/>
    </row>
    <row r="27" spans="1:16" x14ac:dyDescent="0.2">
      <c r="A27" s="433" t="str">
        <f t="shared" si="0"/>
        <v/>
      </c>
      <c r="B27" s="433" t="str">
        <f t="shared" si="5"/>
        <v>A</v>
      </c>
      <c r="C27" s="469">
        <f t="shared" si="8"/>
        <v>0</v>
      </c>
      <c r="D27" s="473" t="b">
        <f t="shared" si="1"/>
        <v>0</v>
      </c>
      <c r="E27" s="475"/>
      <c r="F27" s="475"/>
      <c r="G27" s="476"/>
      <c r="H27" s="476"/>
      <c r="I27" s="482"/>
      <c r="J27" s="482">
        <f t="shared" si="2"/>
        <v>0</v>
      </c>
      <c r="K27" s="479">
        <f t="shared" si="9"/>
        <v>0</v>
      </c>
      <c r="L27" s="479">
        <f t="shared" si="3"/>
        <v>0</v>
      </c>
      <c r="M27" s="479">
        <f t="shared" si="4"/>
        <v>0</v>
      </c>
      <c r="N27" s="480"/>
      <c r="O27" s="483"/>
      <c r="P27" s="483"/>
    </row>
    <row r="28" spans="1:16" x14ac:dyDescent="0.2">
      <c r="A28" s="433" t="str">
        <f t="shared" si="0"/>
        <v/>
      </c>
      <c r="B28" s="433" t="str">
        <f t="shared" si="5"/>
        <v>A</v>
      </c>
      <c r="C28" s="469">
        <f t="shared" si="8"/>
        <v>0</v>
      </c>
      <c r="D28" s="473" t="b">
        <f t="shared" si="1"/>
        <v>0</v>
      </c>
      <c r="E28" s="475"/>
      <c r="F28" s="475"/>
      <c r="G28" s="476"/>
      <c r="H28" s="476"/>
      <c r="I28" s="482"/>
      <c r="J28" s="482">
        <f t="shared" si="2"/>
        <v>0</v>
      </c>
      <c r="K28" s="479">
        <f t="shared" si="9"/>
        <v>0</v>
      </c>
      <c r="L28" s="479">
        <f t="shared" si="3"/>
        <v>0</v>
      </c>
      <c r="M28" s="479">
        <f t="shared" si="4"/>
        <v>0</v>
      </c>
      <c r="N28" s="480"/>
    </row>
    <row r="29" spans="1:16" x14ac:dyDescent="0.2">
      <c r="A29" s="433" t="str">
        <f t="shared" si="0"/>
        <v/>
      </c>
      <c r="B29" s="433" t="str">
        <f t="shared" si="5"/>
        <v>A</v>
      </c>
      <c r="C29" s="469">
        <f t="shared" si="8"/>
        <v>0</v>
      </c>
      <c r="D29" s="473" t="b">
        <f t="shared" si="1"/>
        <v>0</v>
      </c>
      <c r="E29" s="475"/>
      <c r="F29" s="475"/>
      <c r="G29" s="476"/>
      <c r="H29" s="476"/>
      <c r="I29" s="482"/>
      <c r="J29" s="482">
        <f t="shared" si="2"/>
        <v>0</v>
      </c>
      <c r="K29" s="479">
        <f t="shared" si="9"/>
        <v>0</v>
      </c>
      <c r="L29" s="479">
        <f t="shared" si="3"/>
        <v>0</v>
      </c>
      <c r="M29" s="479">
        <f t="shared" si="4"/>
        <v>0</v>
      </c>
      <c r="N29" s="480"/>
    </row>
    <row r="30" spans="1:16" x14ac:dyDescent="0.2">
      <c r="A30" s="433" t="str">
        <f t="shared" si="0"/>
        <v/>
      </c>
      <c r="B30" s="433" t="str">
        <f t="shared" si="5"/>
        <v>A</v>
      </c>
      <c r="C30" s="469">
        <f t="shared" si="8"/>
        <v>0</v>
      </c>
      <c r="D30" s="473" t="b">
        <f t="shared" si="1"/>
        <v>0</v>
      </c>
      <c r="E30" s="475"/>
      <c r="F30" s="475"/>
      <c r="G30" s="476"/>
      <c r="H30" s="476"/>
      <c r="I30" s="482"/>
      <c r="J30" s="482">
        <f t="shared" si="2"/>
        <v>0</v>
      </c>
      <c r="K30" s="479">
        <f t="shared" si="9"/>
        <v>0</v>
      </c>
      <c r="L30" s="479">
        <f t="shared" si="3"/>
        <v>0</v>
      </c>
      <c r="M30" s="479">
        <f t="shared" si="4"/>
        <v>0</v>
      </c>
      <c r="N30" s="480"/>
    </row>
    <row r="31" spans="1:16" x14ac:dyDescent="0.2">
      <c r="A31" s="433" t="str">
        <f t="shared" si="0"/>
        <v/>
      </c>
      <c r="B31" s="433" t="str">
        <f t="shared" si="5"/>
        <v>A</v>
      </c>
      <c r="C31" s="469">
        <f t="shared" si="8"/>
        <v>0</v>
      </c>
      <c r="D31" s="473" t="b">
        <f t="shared" si="1"/>
        <v>0</v>
      </c>
      <c r="E31" s="475"/>
      <c r="F31" s="475"/>
      <c r="G31" s="476"/>
      <c r="H31" s="476"/>
      <c r="I31" s="482"/>
      <c r="J31" s="482">
        <f t="shared" si="2"/>
        <v>0</v>
      </c>
      <c r="K31" s="479">
        <f t="shared" si="9"/>
        <v>0</v>
      </c>
      <c r="L31" s="479">
        <f t="shared" si="3"/>
        <v>0</v>
      </c>
      <c r="M31" s="479">
        <f t="shared" si="4"/>
        <v>0</v>
      </c>
      <c r="N31" s="480"/>
    </row>
    <row r="32" spans="1:16" x14ac:dyDescent="0.2">
      <c r="A32" s="433" t="str">
        <f t="shared" si="0"/>
        <v/>
      </c>
      <c r="B32" s="433" t="str">
        <f t="shared" si="5"/>
        <v>A</v>
      </c>
      <c r="C32" s="469">
        <f t="shared" si="8"/>
        <v>0</v>
      </c>
      <c r="D32" s="473" t="b">
        <f t="shared" si="1"/>
        <v>0</v>
      </c>
      <c r="E32" s="475"/>
      <c r="F32" s="475"/>
      <c r="G32" s="476"/>
      <c r="H32" s="476"/>
      <c r="I32" s="482"/>
      <c r="J32" s="482">
        <f t="shared" si="2"/>
        <v>0</v>
      </c>
      <c r="K32" s="479">
        <f t="shared" si="9"/>
        <v>0</v>
      </c>
      <c r="L32" s="479">
        <f t="shared" si="3"/>
        <v>0</v>
      </c>
      <c r="M32" s="479">
        <f t="shared" si="4"/>
        <v>0</v>
      </c>
      <c r="N32" s="480"/>
    </row>
    <row r="33" spans="1:19" x14ac:dyDescent="0.2">
      <c r="A33" s="433" t="str">
        <f t="shared" si="0"/>
        <v/>
      </c>
      <c r="B33" s="433" t="str">
        <f t="shared" si="5"/>
        <v>A</v>
      </c>
      <c r="C33" s="469">
        <f t="shared" si="8"/>
        <v>0</v>
      </c>
      <c r="D33" s="473" t="b">
        <f t="shared" si="1"/>
        <v>0</v>
      </c>
      <c r="E33" s="475"/>
      <c r="F33" s="475"/>
      <c r="G33" s="476"/>
      <c r="H33" s="476"/>
      <c r="I33" s="482"/>
      <c r="J33" s="482">
        <f t="shared" si="2"/>
        <v>0</v>
      </c>
      <c r="K33" s="479">
        <f t="shared" si="9"/>
        <v>0</v>
      </c>
      <c r="L33" s="479">
        <f t="shared" si="3"/>
        <v>0</v>
      </c>
      <c r="M33" s="479">
        <f t="shared" si="4"/>
        <v>0</v>
      </c>
      <c r="N33" s="480"/>
    </row>
    <row r="34" spans="1:19" x14ac:dyDescent="0.2">
      <c r="A34" s="433" t="str">
        <f t="shared" si="0"/>
        <v/>
      </c>
      <c r="B34" s="433" t="str">
        <f t="shared" si="5"/>
        <v>A</v>
      </c>
      <c r="C34" s="469">
        <f t="shared" si="8"/>
        <v>0</v>
      </c>
      <c r="D34" s="473" t="b">
        <f t="shared" si="1"/>
        <v>0</v>
      </c>
      <c r="E34" s="475"/>
      <c r="F34" s="475"/>
      <c r="G34" s="476"/>
      <c r="H34" s="476"/>
      <c r="I34" s="482"/>
      <c r="J34" s="482">
        <f>I34*E34</f>
        <v>0</v>
      </c>
      <c r="K34" s="479">
        <f t="shared" si="9"/>
        <v>0</v>
      </c>
      <c r="L34" s="479">
        <f>K34*E34</f>
        <v>0</v>
      </c>
      <c r="M34" s="479">
        <f t="shared" si="4"/>
        <v>0</v>
      </c>
      <c r="N34" s="480"/>
    </row>
    <row r="35" spans="1:19" x14ac:dyDescent="0.2">
      <c r="A35" s="433" t="str">
        <f t="shared" si="0"/>
        <v/>
      </c>
      <c r="B35" s="433" t="str">
        <f t="shared" si="5"/>
        <v>A</v>
      </c>
      <c r="C35" s="469">
        <f t="shared" si="8"/>
        <v>0</v>
      </c>
      <c r="D35" s="473" t="b">
        <f t="shared" si="1"/>
        <v>0</v>
      </c>
      <c r="E35" s="475"/>
      <c r="F35" s="475"/>
      <c r="G35" s="476"/>
      <c r="H35" s="476"/>
      <c r="I35" s="482"/>
      <c r="J35" s="482">
        <f>I35*E35</f>
        <v>0</v>
      </c>
      <c r="K35" s="479">
        <f t="shared" si="9"/>
        <v>0</v>
      </c>
      <c r="L35" s="479">
        <f>K35*E35</f>
        <v>0</v>
      </c>
      <c r="M35" s="479">
        <f t="shared" si="4"/>
        <v>0</v>
      </c>
      <c r="N35" s="480"/>
    </row>
    <row r="36" spans="1:19" ht="13.5" thickBot="1" x14ac:dyDescent="0.25">
      <c r="A36" s="433" t="str">
        <f t="shared" si="0"/>
        <v>*</v>
      </c>
      <c r="E36" s="1081" t="s">
        <v>69</v>
      </c>
      <c r="F36" s="1082"/>
      <c r="G36" s="1082"/>
      <c r="H36" s="1083"/>
      <c r="I36" s="484"/>
      <c r="J36" s="485">
        <f>SUM(J16:J34)</f>
        <v>216030.00000000003</v>
      </c>
      <c r="K36" s="484"/>
      <c r="L36" s="486">
        <f ca="1">SUM(L16:L34)</f>
        <v>216317.80565138962</v>
      </c>
      <c r="M36" s="487">
        <f ca="1">SUM(M16:M34)</f>
        <v>210065.01340327185</v>
      </c>
      <c r="O36" s="488"/>
      <c r="P36" s="433">
        <f ca="1">J36/J63</f>
        <v>1.0065865704493231</v>
      </c>
    </row>
    <row r="37" spans="1:19" ht="13.5" thickTop="1" x14ac:dyDescent="0.2">
      <c r="A37" s="433" t="s">
        <v>29</v>
      </c>
    </row>
    <row r="38" spans="1:19" ht="16.5" thickBot="1" x14ac:dyDescent="0.3">
      <c r="A38" s="433" t="s">
        <v>29</v>
      </c>
      <c r="E38" s="434" t="s">
        <v>70</v>
      </c>
      <c r="F38" s="435"/>
      <c r="G38" s="435"/>
      <c r="H38" s="435"/>
      <c r="I38" s="435"/>
      <c r="J38" s="435"/>
      <c r="K38" s="435"/>
      <c r="L38" s="435"/>
      <c r="M38" s="435"/>
      <c r="N38" s="1080" t="s">
        <v>71</v>
      </c>
      <c r="O38" s="1080"/>
      <c r="S38" s="489"/>
    </row>
    <row r="39" spans="1:19" ht="13.5" thickTop="1" x14ac:dyDescent="0.2">
      <c r="A39" s="433" t="s">
        <v>29</v>
      </c>
      <c r="E39" s="1072" t="s">
        <v>60</v>
      </c>
      <c r="F39" s="1072" t="s">
        <v>61</v>
      </c>
      <c r="G39" s="1072"/>
      <c r="H39" s="471" t="s">
        <v>62</v>
      </c>
      <c r="I39" s="1079" t="s">
        <v>63</v>
      </c>
      <c r="J39" s="1079"/>
      <c r="K39" s="1079" t="s">
        <v>64</v>
      </c>
      <c r="L39" s="1079"/>
      <c r="M39" s="1072" t="s">
        <v>65</v>
      </c>
      <c r="N39" s="1074" t="s">
        <v>72</v>
      </c>
      <c r="O39" s="1070" t="s">
        <v>73</v>
      </c>
      <c r="P39" s="489" t="s">
        <v>223</v>
      </c>
      <c r="Q39" s="490" t="s">
        <v>222</v>
      </c>
      <c r="R39" s="491" t="s">
        <v>263</v>
      </c>
      <c r="S39" s="489"/>
    </row>
    <row r="40" spans="1:19" x14ac:dyDescent="0.2">
      <c r="A40" s="433" t="s">
        <v>29</v>
      </c>
      <c r="E40" s="1073"/>
      <c r="F40" s="1073"/>
      <c r="G40" s="1073"/>
      <c r="H40" s="472" t="s">
        <v>66</v>
      </c>
      <c r="I40" s="472" t="s">
        <v>67</v>
      </c>
      <c r="J40" s="472" t="s">
        <v>20</v>
      </c>
      <c r="K40" s="472" t="s">
        <v>67</v>
      </c>
      <c r="L40" s="472" t="s">
        <v>20</v>
      </c>
      <c r="M40" s="1073"/>
      <c r="N40" s="1075"/>
      <c r="O40" s="1071"/>
      <c r="P40" s="489"/>
      <c r="Q40" s="492"/>
      <c r="R40" s="489"/>
    </row>
    <row r="41" spans="1:19" x14ac:dyDescent="0.2">
      <c r="A41" s="433" t="str">
        <f t="shared" ref="A41:A62" si="10">IF(E41="","",IF(E41=0,"","*"))</f>
        <v>*</v>
      </c>
      <c r="B41" s="433" t="str">
        <f t="shared" ref="B41:B62" ca="1" si="11">IF(H41&lt;=$E$83,"A","B")</f>
        <v>A</v>
      </c>
      <c r="C41" s="469"/>
      <c r="D41" s="473">
        <f t="shared" ref="D41:D62" si="12">IF(F41="Chaves",((1+$I$9)^(1/12)-1),IF(F41="Anual",$I$9,IF(F41="Semestral",((1+$I$9)^(1/2)-1),IF(F41="Mensal",((1+$I$9)^(1/12)-1),IF(F41="Sinal",0)))))</f>
        <v>0</v>
      </c>
      <c r="E41" s="493">
        <f>'Simulador CEF'!E63</f>
        <v>1</v>
      </c>
      <c r="F41" s="493" t="s">
        <v>53</v>
      </c>
      <c r="G41" s="494" t="s">
        <v>37</v>
      </c>
      <c r="H41" s="494">
        <f ca="1">'Simulador CEF'!M63</f>
        <v>43809</v>
      </c>
      <c r="I41" s="495">
        <f>'Simulador CEF'!G63</f>
        <v>51275.44</v>
      </c>
      <c r="J41" s="479">
        <f t="shared" ref="J41:J52" si="13">I41*E41</f>
        <v>51275.44</v>
      </c>
      <c r="K41" s="479">
        <f t="shared" ref="K41:K61" ca="1" si="14">IF(H41&lt;=$E$83,I41,   -PMT(D41,E41, (-FV(((1+$I$9)^(1/12)-1),( VLOOKUP(H41,Mês,2) ),,M41)),,1)       )</f>
        <v>51275.44</v>
      </c>
      <c r="L41" s="479">
        <f t="shared" ref="L41:L52" ca="1" si="15">K41*E41</f>
        <v>51275.44</v>
      </c>
      <c r="M41" s="479">
        <f t="shared" ref="M41:M61" ca="1" si="16">IF(E41&lt;1,0,IF(H41&lt;=$E$83,-PV(((1+$I$9)^(1/12)-1),( VLOOKUP(H41,Mês,2) ),,(-PV((IF(F41="Anual",$I$9,IF(F41="Semestral",((1+$I$9)^(1/2)-1),((1+$I$9)^(1/12)-1)))),E41,I41,,1)),1),-PV(((1+$I$9)^(1/12)-1),( VLOOKUP($E$83,Mês,2) ),,J41,1)))</f>
        <v>51275.44</v>
      </c>
      <c r="N41" s="496">
        <v>0</v>
      </c>
      <c r="O41" s="497">
        <v>1</v>
      </c>
      <c r="P41" s="498">
        <f t="shared" ref="P41:P52" ca="1" si="17">IF(E41&lt;1,0,IF(H41&lt;=$E$83,-FV(((1+$I$9)^(1/12)-1),( VLOOKUP(H41,Mês,2) ),,(-PMT((IF(F41="Anual",$I$9,IF(F41="Semestral",((1+$I$9)^(1/2)-1),((1+$I$9)^(1/12)-1)))),E41,Q41,,1)),1),-PV(((1+$I$9)^(1/12)-1),( VLOOKUP($E$83,Mês,2) ),,Q41,1)))</f>
        <v>51275.439999999959</v>
      </c>
      <c r="Q41" s="499">
        <f t="shared" ref="Q41:Q51" ca="1" si="18">$M$36-$M$63+M41</f>
        <v>51275.439999999944</v>
      </c>
      <c r="R41" s="500">
        <f t="shared" ref="R41:R51" ca="1" si="19">M41</f>
        <v>51275.44</v>
      </c>
    </row>
    <row r="42" spans="1:19" x14ac:dyDescent="0.2">
      <c r="A42" s="433" t="str">
        <f t="shared" si="10"/>
        <v>*</v>
      </c>
      <c r="B42" s="433" t="str">
        <f t="shared" ca="1" si="11"/>
        <v>A</v>
      </c>
      <c r="C42" s="469"/>
      <c r="D42" s="473">
        <f t="shared" si="12"/>
        <v>7.2073233161367156E-3</v>
      </c>
      <c r="E42" s="493">
        <f>'Simulador CEF'!E65</f>
        <v>1</v>
      </c>
      <c r="F42" s="493" t="s">
        <v>46</v>
      </c>
      <c r="G42" s="494" t="s">
        <v>42</v>
      </c>
      <c r="H42" s="494">
        <f ca="1">'Simulador CEF'!M65</f>
        <v>43831</v>
      </c>
      <c r="I42" s="495">
        <f>'Simulador CEF'!G65</f>
        <v>2500</v>
      </c>
      <c r="J42" s="479">
        <f t="shared" si="13"/>
        <v>2500</v>
      </c>
      <c r="K42" s="479">
        <f t="shared" ca="1" si="14"/>
        <v>2500</v>
      </c>
      <c r="L42" s="479">
        <f t="shared" ca="1" si="15"/>
        <v>2500</v>
      </c>
      <c r="M42" s="479">
        <f t="shared" ca="1" si="16"/>
        <v>2482.1106262104827</v>
      </c>
      <c r="N42" s="496"/>
      <c r="O42" s="501"/>
      <c r="P42" s="498">
        <f t="shared" ca="1" si="17"/>
        <v>2499.9999999999422</v>
      </c>
      <c r="Q42" s="499">
        <f t="shared" ca="1" si="18"/>
        <v>2482.1106262104245</v>
      </c>
      <c r="R42" s="500">
        <f t="shared" ca="1" si="19"/>
        <v>2482.1106262104827</v>
      </c>
    </row>
    <row r="43" spans="1:19" x14ac:dyDescent="0.2">
      <c r="A43" s="433" t="str">
        <f t="shared" si="10"/>
        <v>*</v>
      </c>
      <c r="B43" s="433" t="str">
        <f t="shared" ca="1" si="11"/>
        <v>A</v>
      </c>
      <c r="C43" s="469"/>
      <c r="D43" s="473">
        <f t="shared" si="12"/>
        <v>7.2073233161367156E-3</v>
      </c>
      <c r="E43" s="493">
        <f>'Simulador CEF'!E67</f>
        <v>1</v>
      </c>
      <c r="F43" s="493" t="s">
        <v>46</v>
      </c>
      <c r="G43" s="494" t="s">
        <v>42</v>
      </c>
      <c r="H43" s="494">
        <f ca="1">'Simulador CEF'!M67</f>
        <v>43862</v>
      </c>
      <c r="I43" s="495">
        <f>'Simulador CEF'!G67</f>
        <v>0</v>
      </c>
      <c r="J43" s="479">
        <f t="shared" si="13"/>
        <v>0</v>
      </c>
      <c r="K43" s="479">
        <f t="shared" ca="1" si="14"/>
        <v>0</v>
      </c>
      <c r="L43" s="479">
        <f t="shared" ca="1" si="15"/>
        <v>0</v>
      </c>
      <c r="M43" s="479">
        <f t="shared" ca="1" si="16"/>
        <v>0</v>
      </c>
      <c r="N43" s="496"/>
      <c r="O43" s="501"/>
      <c r="P43" s="498">
        <f t="shared" ca="1" si="17"/>
        <v>-5.9049727403422405E-11</v>
      </c>
      <c r="Q43" s="499">
        <f t="shared" ca="1" si="18"/>
        <v>-5.8207660913467407E-11</v>
      </c>
      <c r="R43" s="500">
        <f t="shared" ca="1" si="19"/>
        <v>0</v>
      </c>
    </row>
    <row r="44" spans="1:19" x14ac:dyDescent="0.2">
      <c r="A44" s="433" t="str">
        <f t="shared" si="10"/>
        <v>*</v>
      </c>
      <c r="B44" s="433" t="str">
        <f t="shared" ca="1" si="11"/>
        <v>A</v>
      </c>
      <c r="C44" s="469"/>
      <c r="D44" s="473">
        <f t="shared" si="12"/>
        <v>7.2073233161367156E-3</v>
      </c>
      <c r="E44" s="493">
        <f>'Simulador CEF'!E69</f>
        <v>3</v>
      </c>
      <c r="F44" s="493" t="s">
        <v>46</v>
      </c>
      <c r="G44" s="494" t="s">
        <v>42</v>
      </c>
      <c r="H44" s="494">
        <f ca="1">'Simulador CEF'!M69</f>
        <v>43862</v>
      </c>
      <c r="I44" s="495">
        <f>'Simulador CEF'!G69</f>
        <v>1000</v>
      </c>
      <c r="J44" s="479">
        <f t="shared" si="13"/>
        <v>3000</v>
      </c>
      <c r="K44" s="479">
        <f t="shared" ca="1" si="14"/>
        <v>1000</v>
      </c>
      <c r="L44" s="479">
        <f t="shared" ca="1" si="15"/>
        <v>3000</v>
      </c>
      <c r="M44" s="479">
        <f t="shared" ca="1" si="16"/>
        <v>2936.1084724491038</v>
      </c>
      <c r="N44" s="496"/>
      <c r="O44" s="501"/>
      <c r="P44" s="498">
        <f t="shared" ca="1" si="17"/>
        <v>999.99999999997226</v>
      </c>
      <c r="Q44" s="499">
        <f t="shared" ca="1" si="18"/>
        <v>2936.1084724490456</v>
      </c>
      <c r="R44" s="500">
        <f t="shared" ca="1" si="19"/>
        <v>2936.1084724491038</v>
      </c>
    </row>
    <row r="45" spans="1:19" x14ac:dyDescent="0.2">
      <c r="A45" s="433" t="str">
        <f t="shared" si="10"/>
        <v>*</v>
      </c>
      <c r="B45" s="433" t="str">
        <f t="shared" ca="1" si="11"/>
        <v>A</v>
      </c>
      <c r="C45" s="469"/>
      <c r="D45" s="473">
        <f t="shared" si="12"/>
        <v>7.2073233161367156E-3</v>
      </c>
      <c r="E45" s="493">
        <f>'Simulador CEF'!E71</f>
        <v>1</v>
      </c>
      <c r="F45" s="493" t="s">
        <v>46</v>
      </c>
      <c r="G45" s="494" t="s">
        <v>42</v>
      </c>
      <c r="H45" s="494">
        <f ca="1">'Simulador CEF'!M71</f>
        <v>43800</v>
      </c>
      <c r="I45" s="495">
        <f>'Simulador CEF'!G71</f>
        <v>0</v>
      </c>
      <c r="J45" s="479">
        <f t="shared" si="13"/>
        <v>0</v>
      </c>
      <c r="K45" s="479">
        <f t="shared" ca="1" si="14"/>
        <v>0</v>
      </c>
      <c r="L45" s="479">
        <f t="shared" ca="1" si="15"/>
        <v>0</v>
      </c>
      <c r="M45" s="479">
        <f t="shared" ca="1" si="16"/>
        <v>0</v>
      </c>
      <c r="N45" s="496"/>
      <c r="O45" s="501"/>
      <c r="P45" s="498">
        <f t="shared" ca="1" si="17"/>
        <v>-5.820766091346742E-11</v>
      </c>
      <c r="Q45" s="499">
        <f t="shared" ca="1" si="18"/>
        <v>-5.8207660913467407E-11</v>
      </c>
      <c r="R45" s="500">
        <f t="shared" ca="1" si="19"/>
        <v>0</v>
      </c>
    </row>
    <row r="46" spans="1:19" x14ac:dyDescent="0.2">
      <c r="A46" s="433" t="str">
        <f>IF(E46="","",IF(E46=0,"","*"))</f>
        <v>*</v>
      </c>
      <c r="B46" s="433" t="str">
        <f t="shared" ca="1" si="11"/>
        <v>B</v>
      </c>
      <c r="C46" s="469"/>
      <c r="D46" s="473">
        <f>IF(F46="Chaves",((1+$I$9)^(1/12)-1),IF(F46="Anual",$I$9,IF(F46="Semestral",((1+$I$9)^(1/2)-1),IF(F46="Mensal",((1+$I$9)^(1/12)-1),IF(F46="Sinal",0)))))</f>
        <v>7.2073233161367156E-3</v>
      </c>
      <c r="E46" s="493">
        <f>'Simulador CEF'!E73</f>
        <v>1</v>
      </c>
      <c r="F46" s="493" t="s">
        <v>46</v>
      </c>
      <c r="G46" s="494" t="s">
        <v>42</v>
      </c>
      <c r="H46" s="494">
        <f ca="1">'Simulador CEF'!M73</f>
        <v>43952</v>
      </c>
      <c r="I46" s="495">
        <f>'Simulador CEF'!G73</f>
        <v>0</v>
      </c>
      <c r="J46" s="479">
        <f>I46*E46</f>
        <v>0</v>
      </c>
      <c r="K46" s="479">
        <f t="shared" ca="1" si="14"/>
        <v>0</v>
      </c>
      <c r="L46" s="479">
        <f ca="1">K46*E46</f>
        <v>0</v>
      </c>
      <c r="M46" s="479">
        <f t="shared" ca="1" si="16"/>
        <v>0</v>
      </c>
      <c r="N46" s="496"/>
      <c r="O46" s="501"/>
      <c r="P46" s="498">
        <f t="shared" ca="1" si="17"/>
        <v>-5.6559381042141706E-11</v>
      </c>
      <c r="Q46" s="499">
        <f t="shared" ca="1" si="18"/>
        <v>-5.8207660913467407E-11</v>
      </c>
      <c r="R46" s="500">
        <f t="shared" ca="1" si="19"/>
        <v>0</v>
      </c>
    </row>
    <row r="47" spans="1:19" x14ac:dyDescent="0.2">
      <c r="A47" s="433" t="str">
        <f t="shared" si="10"/>
        <v>*</v>
      </c>
      <c r="B47" s="433" t="str">
        <f t="shared" ca="1" si="11"/>
        <v>B</v>
      </c>
      <c r="C47" s="469"/>
      <c r="D47" s="473">
        <f t="shared" si="12"/>
        <v>7.2073233161367156E-3</v>
      </c>
      <c r="E47" s="493">
        <f>'Simulador CEF'!E79</f>
        <v>1</v>
      </c>
      <c r="F47" s="493" t="s">
        <v>46</v>
      </c>
      <c r="G47" s="494" t="s">
        <v>42</v>
      </c>
      <c r="H47" s="494">
        <f ca="1">'Simulador CEF'!M79</f>
        <v>44896</v>
      </c>
      <c r="I47" s="495">
        <f>'Simulador CEF'!G79</f>
        <v>0</v>
      </c>
      <c r="J47" s="479">
        <f t="shared" si="13"/>
        <v>0</v>
      </c>
      <c r="K47" s="479">
        <f t="shared" ca="1" si="14"/>
        <v>0</v>
      </c>
      <c r="L47" s="479">
        <f t="shared" ca="1" si="15"/>
        <v>0</v>
      </c>
      <c r="M47" s="479">
        <f t="shared" ca="1" si="16"/>
        <v>0</v>
      </c>
      <c r="N47" s="496"/>
      <c r="O47" s="501"/>
      <c r="P47" s="498">
        <f t="shared" ca="1" si="17"/>
        <v>-5.6559381042141706E-11</v>
      </c>
      <c r="Q47" s="499">
        <f t="shared" ca="1" si="18"/>
        <v>-5.8207660913467407E-11</v>
      </c>
      <c r="R47" s="500">
        <f t="shared" ca="1" si="19"/>
        <v>0</v>
      </c>
    </row>
    <row r="48" spans="1:19" x14ac:dyDescent="0.2">
      <c r="A48" s="433" t="str">
        <f>IF(E48="","",IF(E48=0,"","*"))</f>
        <v>*</v>
      </c>
      <c r="B48" s="433" t="str">
        <f t="shared" ca="1" si="11"/>
        <v>B</v>
      </c>
      <c r="C48" s="469"/>
      <c r="D48" s="473">
        <f>IF(F48="Chaves",((1+$I$9)^(1/12)-1),IF(F48="Anual",$I$9,IF(F48="Semestral",((1+$I$9)^(1/2)-1),IF(F48="Mensal",((1+$I$9)^(1/12)-1),IF(F48="Sinal",0)))))</f>
        <v>0.09</v>
      </c>
      <c r="E48" s="493">
        <f>'Simulador CEF'!E75</f>
        <v>1</v>
      </c>
      <c r="F48" s="493" t="s">
        <v>36</v>
      </c>
      <c r="G48" s="494" t="s">
        <v>42</v>
      </c>
      <c r="H48" s="494">
        <f ca="1">'Simulador CEF'!M75</f>
        <v>43983</v>
      </c>
      <c r="I48" s="495">
        <f>'Simulador CEF'!G75</f>
        <v>0</v>
      </c>
      <c r="J48" s="479">
        <f t="shared" si="13"/>
        <v>0</v>
      </c>
      <c r="K48" s="479">
        <f t="shared" ca="1" si="14"/>
        <v>0</v>
      </c>
      <c r="L48" s="479">
        <f ca="1">K48*E48</f>
        <v>0</v>
      </c>
      <c r="M48" s="479">
        <f t="shared" ca="1" si="16"/>
        <v>0</v>
      </c>
      <c r="N48" s="496"/>
      <c r="O48" s="501"/>
      <c r="P48" s="498">
        <f t="shared" ca="1" si="17"/>
        <v>-5.6559381042141706E-11</v>
      </c>
      <c r="Q48" s="499">
        <f t="shared" ca="1" si="18"/>
        <v>-5.8207660913467407E-11</v>
      </c>
      <c r="R48" s="500">
        <f t="shared" ca="1" si="19"/>
        <v>0</v>
      </c>
    </row>
    <row r="49" spans="1:18" x14ac:dyDescent="0.2">
      <c r="A49" s="433" t="str">
        <f t="shared" si="10"/>
        <v>*</v>
      </c>
      <c r="B49" s="433" t="str">
        <f t="shared" ca="1" si="11"/>
        <v>A</v>
      </c>
      <c r="C49" s="469"/>
      <c r="D49" s="473">
        <f t="shared" si="12"/>
        <v>7.2073233161367156E-3</v>
      </c>
      <c r="E49" s="493">
        <f>'Simulador CEF'!E83</f>
        <v>1</v>
      </c>
      <c r="F49" s="493" t="s">
        <v>41</v>
      </c>
      <c r="G49" s="494" t="s">
        <v>42</v>
      </c>
      <c r="H49" s="494">
        <f ca="1">'Simulador CEF'!M77</f>
        <v>43800</v>
      </c>
      <c r="I49" s="495">
        <f>'Simulador CEF'!G77</f>
        <v>0</v>
      </c>
      <c r="J49" s="479">
        <f t="shared" si="13"/>
        <v>0</v>
      </c>
      <c r="K49" s="479">
        <f t="shared" ca="1" si="14"/>
        <v>0</v>
      </c>
      <c r="L49" s="479">
        <f ca="1">K49*E49</f>
        <v>0</v>
      </c>
      <c r="M49" s="479">
        <f t="shared" ca="1" si="16"/>
        <v>0</v>
      </c>
      <c r="N49" s="496"/>
      <c r="O49" s="501"/>
      <c r="P49" s="498">
        <f t="shared" ca="1" si="17"/>
        <v>-5.820766091346742E-11</v>
      </c>
      <c r="Q49" s="499">
        <f t="shared" ca="1" si="18"/>
        <v>-5.8207660913467407E-11</v>
      </c>
      <c r="R49" s="500">
        <f t="shared" ca="1" si="19"/>
        <v>0</v>
      </c>
    </row>
    <row r="50" spans="1:18" x14ac:dyDescent="0.2">
      <c r="A50" s="433" t="str">
        <f>IF(E50="","",IF(E50=0,"","*"))</f>
        <v>*</v>
      </c>
      <c r="B50" s="433" t="str">
        <f t="shared" ca="1" si="11"/>
        <v>B</v>
      </c>
      <c r="C50" s="469"/>
      <c r="D50" s="473">
        <f>IF(F50="Chaves",((1+$I$9)^(1/12)-1),IF(F50="Anual",$I$9,IF(F50="Semestral",((1+$I$9)^(1/2)-1),IF(F50="Mensal",((1+$I$9)^(1/12)-1),IF(F50="Sinal",0)))))</f>
        <v>7.2073233161367156E-3</v>
      </c>
      <c r="E50" s="493">
        <v>1</v>
      </c>
      <c r="F50" s="493" t="s">
        <v>46</v>
      </c>
      <c r="G50" s="494" t="s">
        <v>42</v>
      </c>
      <c r="H50" s="494">
        <f ca="1">'Simulador CEF'!M85</f>
        <v>44927</v>
      </c>
      <c r="I50" s="502">
        <f>'Simulador CEF'!P85</f>
        <v>100</v>
      </c>
      <c r="J50" s="479">
        <f t="shared" si="13"/>
        <v>100</v>
      </c>
      <c r="K50" s="479">
        <f t="shared" ca="1" si="14"/>
        <v>126.74267509843762</v>
      </c>
      <c r="L50" s="479">
        <f t="shared" ca="1" si="15"/>
        <v>126.74267509843762</v>
      </c>
      <c r="M50" s="479">
        <f t="shared" ca="1" si="16"/>
        <v>97.168276743200408</v>
      </c>
      <c r="N50" s="496"/>
      <c r="O50" s="501"/>
      <c r="P50" s="498">
        <f t="shared" ca="1" si="17"/>
        <v>94.416740052375246</v>
      </c>
      <c r="Q50" s="499">
        <f t="shared" ca="1" si="18"/>
        <v>97.168276743142201</v>
      </c>
      <c r="R50" s="500">
        <f t="shared" ca="1" si="19"/>
        <v>97.168276743200408</v>
      </c>
    </row>
    <row r="51" spans="1:18" x14ac:dyDescent="0.2">
      <c r="A51" s="433" t="str">
        <f>IF(E51="","",IF(E51=0,"","*"))</f>
        <v>*</v>
      </c>
      <c r="B51" s="433" t="str">
        <f t="shared" ca="1" si="11"/>
        <v>A</v>
      </c>
      <c r="C51" s="469"/>
      <c r="D51" s="473">
        <f>IF(F51="Chaves",((1+$I$9)^(1/12)-1),IF(F51="Anual",$I$9,IF(F51="Semestral",((1+$I$9)^(1/2)-1),IF(F51="Mensal",((1+$I$9)^(1/12)-1),IF(F51="Sinal",0)))))</f>
        <v>7.2073233161367156E-3</v>
      </c>
      <c r="E51" s="493">
        <v>1</v>
      </c>
      <c r="F51" s="493" t="s">
        <v>41</v>
      </c>
      <c r="G51" s="494" t="s">
        <v>42</v>
      </c>
      <c r="H51" s="494">
        <f ca="1">H23</f>
        <v>43931</v>
      </c>
      <c r="I51" s="502">
        <f>'Simulador CEF'!P87</f>
        <v>0</v>
      </c>
      <c r="J51" s="479">
        <f>I51*E51</f>
        <v>0</v>
      </c>
      <c r="K51" s="479">
        <f t="shared" ca="1" si="14"/>
        <v>0</v>
      </c>
      <c r="L51" s="479">
        <f ca="1">K51*E51</f>
        <v>0</v>
      </c>
      <c r="M51" s="479">
        <f t="shared" ca="1" si="16"/>
        <v>0</v>
      </c>
      <c r="N51" s="496"/>
      <c r="O51" s="501"/>
      <c r="P51" s="498">
        <f t="shared" ca="1" si="17"/>
        <v>-5.9903975725843719E-11</v>
      </c>
      <c r="Q51" s="499">
        <f t="shared" ca="1" si="18"/>
        <v>-5.8207660913467407E-11</v>
      </c>
      <c r="R51" s="500">
        <f t="shared" ca="1" si="19"/>
        <v>0</v>
      </c>
    </row>
    <row r="52" spans="1:18" x14ac:dyDescent="0.2">
      <c r="A52" s="433" t="str">
        <f t="shared" si="10"/>
        <v>*</v>
      </c>
      <c r="B52" s="433" t="str">
        <f t="shared" ca="1" si="11"/>
        <v>A</v>
      </c>
      <c r="C52" s="469"/>
      <c r="D52" s="473">
        <f t="shared" si="12"/>
        <v>7.2073233161367156E-3</v>
      </c>
      <c r="E52" s="493">
        <v>1</v>
      </c>
      <c r="F52" s="493" t="s">
        <v>41</v>
      </c>
      <c r="G52" s="494" t="s">
        <v>42</v>
      </c>
      <c r="H52" s="494">
        <f ca="1">H23</f>
        <v>43931</v>
      </c>
      <c r="I52" s="502">
        <f ca="1">'Simulador CEF'!P88</f>
        <v>157740.97387046114</v>
      </c>
      <c r="J52" s="479">
        <f t="shared" ca="1" si="13"/>
        <v>157740.97387046114</v>
      </c>
      <c r="K52" s="479">
        <f t="shared" ca="1" si="14"/>
        <v>157740.97387046114</v>
      </c>
      <c r="L52" s="479">
        <f t="shared" ca="1" si="15"/>
        <v>157740.97387046114</v>
      </c>
      <c r="M52" s="479">
        <f t="shared" ca="1" si="16"/>
        <v>153274.18602786912</v>
      </c>
      <c r="N52" s="496"/>
      <c r="O52" s="501"/>
      <c r="P52" s="498">
        <f t="shared" ca="1" si="17"/>
        <v>157740.97387046114</v>
      </c>
      <c r="Q52" s="499">
        <f ca="1">$M$36-$M$63+M52</f>
        <v>153274.18602786906</v>
      </c>
      <c r="R52" s="503"/>
    </row>
    <row r="53" spans="1:18" x14ac:dyDescent="0.2">
      <c r="A53" s="433" t="str">
        <f t="shared" si="10"/>
        <v/>
      </c>
      <c r="B53" s="433" t="str">
        <f t="shared" si="11"/>
        <v>A</v>
      </c>
      <c r="C53" s="469"/>
      <c r="D53" s="473" t="b">
        <f t="shared" si="12"/>
        <v>0</v>
      </c>
      <c r="E53" s="493"/>
      <c r="F53" s="493"/>
      <c r="G53" s="494"/>
      <c r="H53" s="494"/>
      <c r="I53" s="502"/>
      <c r="J53" s="479">
        <f t="shared" ref="J53:J61" si="20">I53*E53</f>
        <v>0</v>
      </c>
      <c r="K53" s="479">
        <f t="shared" si="14"/>
        <v>0</v>
      </c>
      <c r="L53" s="479">
        <f t="shared" ref="L53:L61" si="21">K53*E53</f>
        <v>0</v>
      </c>
      <c r="M53" s="479">
        <f t="shared" si="16"/>
        <v>0</v>
      </c>
      <c r="N53" s="496"/>
      <c r="O53" s="501"/>
      <c r="P53" s="504"/>
      <c r="R53" s="500">
        <f t="shared" ref="R53:R62" si="22">M53</f>
        <v>0</v>
      </c>
    </row>
    <row r="54" spans="1:18" x14ac:dyDescent="0.2">
      <c r="A54" s="433" t="str">
        <f t="shared" si="10"/>
        <v/>
      </c>
      <c r="B54" s="433" t="str">
        <f t="shared" si="11"/>
        <v>A</v>
      </c>
      <c r="C54" s="469"/>
      <c r="D54" s="473" t="b">
        <f t="shared" si="12"/>
        <v>0</v>
      </c>
      <c r="E54" s="493"/>
      <c r="F54" s="493"/>
      <c r="G54" s="494"/>
      <c r="H54" s="494"/>
      <c r="I54" s="502"/>
      <c r="J54" s="479">
        <f t="shared" si="20"/>
        <v>0</v>
      </c>
      <c r="K54" s="479">
        <f t="shared" si="14"/>
        <v>0</v>
      </c>
      <c r="L54" s="479">
        <f t="shared" si="21"/>
        <v>0</v>
      </c>
      <c r="M54" s="479">
        <f t="shared" si="16"/>
        <v>0</v>
      </c>
      <c r="N54" s="496"/>
      <c r="O54" s="501"/>
      <c r="P54" s="504"/>
      <c r="R54" s="500">
        <f t="shared" si="22"/>
        <v>0</v>
      </c>
    </row>
    <row r="55" spans="1:18" x14ac:dyDescent="0.2">
      <c r="A55" s="433" t="str">
        <f t="shared" si="10"/>
        <v/>
      </c>
      <c r="B55" s="433" t="str">
        <f t="shared" si="11"/>
        <v>A</v>
      </c>
      <c r="C55" s="469"/>
      <c r="D55" s="473" t="b">
        <f t="shared" si="12"/>
        <v>0</v>
      </c>
      <c r="E55" s="493"/>
      <c r="F55" s="493"/>
      <c r="G55" s="494"/>
      <c r="H55" s="494"/>
      <c r="I55" s="502"/>
      <c r="J55" s="479">
        <f t="shared" si="20"/>
        <v>0</v>
      </c>
      <c r="K55" s="479">
        <f t="shared" si="14"/>
        <v>0</v>
      </c>
      <c r="L55" s="479">
        <f t="shared" si="21"/>
        <v>0</v>
      </c>
      <c r="M55" s="479">
        <f t="shared" si="16"/>
        <v>0</v>
      </c>
      <c r="N55" s="496"/>
      <c r="O55" s="501"/>
      <c r="P55" s="504"/>
      <c r="R55" s="500">
        <f t="shared" si="22"/>
        <v>0</v>
      </c>
    </row>
    <row r="56" spans="1:18" x14ac:dyDescent="0.2">
      <c r="A56" s="433" t="str">
        <f t="shared" si="10"/>
        <v/>
      </c>
      <c r="B56" s="433" t="str">
        <f t="shared" si="11"/>
        <v>A</v>
      </c>
      <c r="C56" s="469"/>
      <c r="D56" s="473" t="b">
        <f t="shared" si="12"/>
        <v>0</v>
      </c>
      <c r="E56" s="493"/>
      <c r="F56" s="493"/>
      <c r="G56" s="494"/>
      <c r="H56" s="494"/>
      <c r="I56" s="502"/>
      <c r="J56" s="479">
        <f t="shared" si="20"/>
        <v>0</v>
      </c>
      <c r="K56" s="479">
        <f t="shared" si="14"/>
        <v>0</v>
      </c>
      <c r="L56" s="479">
        <f t="shared" si="21"/>
        <v>0</v>
      </c>
      <c r="M56" s="479">
        <f t="shared" si="16"/>
        <v>0</v>
      </c>
      <c r="N56" s="496"/>
      <c r="O56" s="501"/>
      <c r="P56" s="504"/>
      <c r="R56" s="500">
        <f t="shared" si="22"/>
        <v>0</v>
      </c>
    </row>
    <row r="57" spans="1:18" x14ac:dyDescent="0.2">
      <c r="A57" s="433" t="str">
        <f t="shared" si="10"/>
        <v/>
      </c>
      <c r="B57" s="433" t="str">
        <f t="shared" si="11"/>
        <v>A</v>
      </c>
      <c r="C57" s="469"/>
      <c r="D57" s="473" t="b">
        <f t="shared" si="12"/>
        <v>0</v>
      </c>
      <c r="E57" s="493"/>
      <c r="F57" s="493"/>
      <c r="G57" s="494"/>
      <c r="H57" s="494"/>
      <c r="I57" s="502"/>
      <c r="J57" s="479">
        <f t="shared" si="20"/>
        <v>0</v>
      </c>
      <c r="K57" s="479">
        <f t="shared" si="14"/>
        <v>0</v>
      </c>
      <c r="L57" s="479">
        <f t="shared" si="21"/>
        <v>0</v>
      </c>
      <c r="M57" s="479">
        <f t="shared" si="16"/>
        <v>0</v>
      </c>
      <c r="N57" s="496"/>
      <c r="O57" s="501"/>
      <c r="P57" s="504"/>
      <c r="R57" s="500">
        <f t="shared" si="22"/>
        <v>0</v>
      </c>
    </row>
    <row r="58" spans="1:18" x14ac:dyDescent="0.2">
      <c r="A58" s="433" t="str">
        <f t="shared" si="10"/>
        <v/>
      </c>
      <c r="B58" s="433" t="str">
        <f t="shared" si="11"/>
        <v>A</v>
      </c>
      <c r="C58" s="469"/>
      <c r="D58" s="473" t="b">
        <f t="shared" si="12"/>
        <v>0</v>
      </c>
      <c r="E58" s="493"/>
      <c r="F58" s="493"/>
      <c r="G58" s="494"/>
      <c r="H58" s="494"/>
      <c r="I58" s="502"/>
      <c r="J58" s="479">
        <f t="shared" si="20"/>
        <v>0</v>
      </c>
      <c r="K58" s="479">
        <f t="shared" si="14"/>
        <v>0</v>
      </c>
      <c r="L58" s="479">
        <f t="shared" si="21"/>
        <v>0</v>
      </c>
      <c r="M58" s="479">
        <f t="shared" si="16"/>
        <v>0</v>
      </c>
      <c r="N58" s="496"/>
      <c r="O58" s="501"/>
      <c r="P58" s="504"/>
      <c r="R58" s="500">
        <f t="shared" si="22"/>
        <v>0</v>
      </c>
    </row>
    <row r="59" spans="1:18" x14ac:dyDescent="0.2">
      <c r="A59" s="433" t="str">
        <f t="shared" si="10"/>
        <v/>
      </c>
      <c r="B59" s="433" t="str">
        <f t="shared" si="11"/>
        <v>A</v>
      </c>
      <c r="C59" s="469"/>
      <c r="D59" s="473" t="b">
        <f t="shared" si="12"/>
        <v>0</v>
      </c>
      <c r="E59" s="493"/>
      <c r="F59" s="493"/>
      <c r="G59" s="494"/>
      <c r="H59" s="494"/>
      <c r="I59" s="502"/>
      <c r="J59" s="479">
        <f t="shared" si="20"/>
        <v>0</v>
      </c>
      <c r="K59" s="479">
        <f t="shared" si="14"/>
        <v>0</v>
      </c>
      <c r="L59" s="479">
        <f t="shared" si="21"/>
        <v>0</v>
      </c>
      <c r="M59" s="479">
        <f t="shared" si="16"/>
        <v>0</v>
      </c>
      <c r="N59" s="496"/>
      <c r="O59" s="501"/>
      <c r="P59" s="504"/>
      <c r="R59" s="500">
        <f t="shared" si="22"/>
        <v>0</v>
      </c>
    </row>
    <row r="60" spans="1:18" x14ac:dyDescent="0.2">
      <c r="A60" s="433" t="str">
        <f t="shared" si="10"/>
        <v/>
      </c>
      <c r="B60" s="433" t="str">
        <f t="shared" si="11"/>
        <v>A</v>
      </c>
      <c r="C60" s="469"/>
      <c r="D60" s="473" t="b">
        <f t="shared" si="12"/>
        <v>0</v>
      </c>
      <c r="E60" s="493"/>
      <c r="F60" s="493"/>
      <c r="G60" s="494"/>
      <c r="H60" s="494"/>
      <c r="I60" s="502"/>
      <c r="J60" s="479">
        <f t="shared" si="20"/>
        <v>0</v>
      </c>
      <c r="K60" s="479">
        <f t="shared" si="14"/>
        <v>0</v>
      </c>
      <c r="L60" s="479">
        <f t="shared" si="21"/>
        <v>0</v>
      </c>
      <c r="M60" s="479">
        <f t="shared" si="16"/>
        <v>0</v>
      </c>
      <c r="N60" s="496"/>
      <c r="O60" s="501"/>
      <c r="P60" s="504"/>
      <c r="R60" s="500">
        <f t="shared" si="22"/>
        <v>0</v>
      </c>
    </row>
    <row r="61" spans="1:18" x14ac:dyDescent="0.2">
      <c r="A61" s="433" t="str">
        <f t="shared" si="10"/>
        <v/>
      </c>
      <c r="B61" s="433" t="str">
        <f t="shared" si="11"/>
        <v>A</v>
      </c>
      <c r="C61" s="469"/>
      <c r="D61" s="473" t="b">
        <f t="shared" si="12"/>
        <v>0</v>
      </c>
      <c r="E61" s="493"/>
      <c r="F61" s="493"/>
      <c r="G61" s="494"/>
      <c r="H61" s="494"/>
      <c r="I61" s="502"/>
      <c r="J61" s="479">
        <f t="shared" si="20"/>
        <v>0</v>
      </c>
      <c r="K61" s="479">
        <f t="shared" si="14"/>
        <v>0</v>
      </c>
      <c r="L61" s="479">
        <f t="shared" si="21"/>
        <v>0</v>
      </c>
      <c r="M61" s="479">
        <f t="shared" si="16"/>
        <v>0</v>
      </c>
      <c r="N61" s="496"/>
      <c r="O61" s="501"/>
      <c r="R61" s="500">
        <f t="shared" si="22"/>
        <v>0</v>
      </c>
    </row>
    <row r="62" spans="1:18" x14ac:dyDescent="0.2">
      <c r="A62" s="433" t="str">
        <f t="shared" si="10"/>
        <v/>
      </c>
      <c r="B62" s="433" t="str">
        <f t="shared" si="11"/>
        <v>A</v>
      </c>
      <c r="C62" s="469"/>
      <c r="D62" s="473" t="b">
        <f t="shared" si="12"/>
        <v>0</v>
      </c>
      <c r="E62" s="505"/>
      <c r="F62" s="505"/>
      <c r="G62" s="506"/>
      <c r="H62" s="506"/>
      <c r="I62" s="507"/>
      <c r="J62" s="508"/>
      <c r="K62" s="508"/>
      <c r="L62" s="508"/>
      <c r="M62" s="479"/>
      <c r="N62" s="496"/>
      <c r="O62" s="501"/>
      <c r="R62" s="509">
        <f t="shared" si="22"/>
        <v>0</v>
      </c>
    </row>
    <row r="63" spans="1:18" ht="13.5" thickBot="1" x14ac:dyDescent="0.25">
      <c r="A63" s="433" t="str">
        <f>IF(E63="","","*")</f>
        <v>*</v>
      </c>
      <c r="E63" s="1081" t="s">
        <v>69</v>
      </c>
      <c r="F63" s="1082"/>
      <c r="G63" s="1082"/>
      <c r="H63" s="1083"/>
      <c r="I63" s="484"/>
      <c r="J63" s="486">
        <f ca="1">SUM(J41:J62)</f>
        <v>214616.41387046114</v>
      </c>
      <c r="K63" s="484"/>
      <c r="L63" s="486">
        <f ca="1">SUM(L41:L62)</f>
        <v>214643.15654555958</v>
      </c>
      <c r="M63" s="487">
        <f ca="1">SUM(M41:M62)</f>
        <v>210065.01340327191</v>
      </c>
      <c r="O63" s="488"/>
      <c r="P63" s="504"/>
      <c r="R63" s="510">
        <f ca="1">SUM(R41:R62)</f>
        <v>56790.827375402783</v>
      </c>
    </row>
    <row r="64" spans="1:18" ht="13.5" thickTop="1" x14ac:dyDescent="0.2">
      <c r="A64" s="433" t="s">
        <v>29</v>
      </c>
      <c r="Q64" s="500">
        <f ca="1">IF(E52&lt;1,0,IF(H52&lt;=$E$83,-FV(((1+$I$9)^(1/12)-1),( VLOOKUP(H52,Mês,2) ),,(-PMT((IF(F52="Anual",$I$9,IF(F52="Semestral",((1+$I$9)^(1/2)-1),((1+$I$9)^(1/12)-1)))),E52,R64,,1)),1),-PV(((1+$I$9)^(1/12)-1),( VLOOKUP($E$83,Mês,2) ),,R64,1)))</f>
        <v>157740.97387046114</v>
      </c>
      <c r="R64" s="511">
        <f ca="1">M36-R63</f>
        <v>153274.18602786906</v>
      </c>
    </row>
    <row r="65" spans="1:13" x14ac:dyDescent="0.2">
      <c r="A65" s="433" t="s">
        <v>29</v>
      </c>
      <c r="J65" s="512"/>
    </row>
    <row r="66" spans="1:13" ht="13.5" thickBot="1" x14ac:dyDescent="0.25">
      <c r="A66" s="433" t="s">
        <v>29</v>
      </c>
    </row>
    <row r="67" spans="1:13" ht="17.25" thickTop="1" thickBot="1" x14ac:dyDescent="0.3">
      <c r="A67" s="433" t="s">
        <v>29</v>
      </c>
      <c r="E67" s="1057"/>
      <c r="F67" s="1059"/>
      <c r="G67" s="1065" t="s">
        <v>4</v>
      </c>
      <c r="H67" s="1067"/>
      <c r="I67" s="1065" t="s">
        <v>74</v>
      </c>
      <c r="J67" s="1066"/>
      <c r="K67" s="1067"/>
      <c r="L67" s="1065" t="s">
        <v>20</v>
      </c>
      <c r="M67" s="1067"/>
    </row>
    <row r="68" spans="1:13" ht="17.25" thickTop="1" thickBot="1" x14ac:dyDescent="0.3">
      <c r="A68" s="433" t="s">
        <v>29</v>
      </c>
      <c r="E68" s="1060"/>
      <c r="F68" s="1062"/>
      <c r="G68" s="513" t="s">
        <v>75</v>
      </c>
      <c r="H68" s="513" t="s">
        <v>76</v>
      </c>
      <c r="I68" s="513" t="s">
        <v>75</v>
      </c>
      <c r="J68" s="513" t="s">
        <v>77</v>
      </c>
      <c r="K68" s="513" t="s">
        <v>76</v>
      </c>
      <c r="L68" s="513" t="s">
        <v>75</v>
      </c>
      <c r="M68" s="513" t="s">
        <v>76</v>
      </c>
    </row>
    <row r="69" spans="1:13" ht="14.25" thickTop="1" thickBot="1" x14ac:dyDescent="0.25">
      <c r="A69" s="433" t="s">
        <v>29</v>
      </c>
      <c r="E69" s="1063" t="s">
        <v>40</v>
      </c>
      <c r="F69" s="1064"/>
      <c r="G69" s="514">
        <f ca="1">H69/100*$J$63</f>
        <v>0</v>
      </c>
      <c r="H69" s="515">
        <v>0</v>
      </c>
      <c r="I69" s="516"/>
      <c r="J69" s="514">
        <f ca="1">K69/100*$J$63</f>
        <v>0</v>
      </c>
      <c r="K69" s="515"/>
      <c r="L69" s="514">
        <f ca="1">J69+I69+G69</f>
        <v>0</v>
      </c>
      <c r="M69" s="517">
        <f ca="1">IF(L69=0,0,L69/$J$63)*100</f>
        <v>0</v>
      </c>
    </row>
    <row r="70" spans="1:13" ht="14.25" thickTop="1" thickBot="1" x14ac:dyDescent="0.25">
      <c r="A70" s="433" t="s">
        <v>29</v>
      </c>
      <c r="E70" s="1063" t="s">
        <v>45</v>
      </c>
      <c r="F70" s="1064"/>
      <c r="G70" s="514">
        <f ca="1">H70/100*$J$63</f>
        <v>0</v>
      </c>
      <c r="H70" s="515"/>
      <c r="I70" s="516"/>
      <c r="J70" s="514">
        <f ca="1">K70/100*$J$63</f>
        <v>0</v>
      </c>
      <c r="K70" s="515"/>
      <c r="L70" s="514">
        <f ca="1">J70+I70+G70</f>
        <v>0</v>
      </c>
      <c r="M70" s="517">
        <f ca="1">IF(L70=0,0,L70/$J$63)*100</f>
        <v>0</v>
      </c>
    </row>
    <row r="71" spans="1:13" ht="14.25" thickTop="1" thickBot="1" x14ac:dyDescent="0.25">
      <c r="A71" s="433" t="s">
        <v>29</v>
      </c>
      <c r="E71" s="1063" t="str">
        <f>J8</f>
        <v>Empresa de vendas</v>
      </c>
      <c r="F71" s="1064"/>
      <c r="G71" s="514">
        <f ca="1">H71/100*$J$63</f>
        <v>0</v>
      </c>
      <c r="H71" s="515"/>
      <c r="I71" s="516"/>
      <c r="J71" s="514">
        <f ca="1">K71/100*$J$63</f>
        <v>0</v>
      </c>
      <c r="K71" s="515"/>
      <c r="L71" s="514">
        <f ca="1">J71+I71+G71</f>
        <v>0</v>
      </c>
      <c r="M71" s="517">
        <f ca="1">IF(L71=0,0,L71/$J$63)*100</f>
        <v>0</v>
      </c>
    </row>
    <row r="72" spans="1:13" ht="14.25" thickTop="1" thickBot="1" x14ac:dyDescent="0.25">
      <c r="A72" s="433" t="s">
        <v>29</v>
      </c>
      <c r="E72" s="1068" t="s">
        <v>69</v>
      </c>
      <c r="F72" s="1056"/>
      <c r="G72" s="514">
        <f t="shared" ref="G72:M72" ca="1" si="23">SUM(G69:G71)</f>
        <v>0</v>
      </c>
      <c r="H72" s="517">
        <f t="shared" si="23"/>
        <v>0</v>
      </c>
      <c r="I72" s="514">
        <f t="shared" si="23"/>
        <v>0</v>
      </c>
      <c r="J72" s="518">
        <f t="shared" ca="1" si="23"/>
        <v>0</v>
      </c>
      <c r="K72" s="517">
        <f t="shared" si="23"/>
        <v>0</v>
      </c>
      <c r="L72" s="514">
        <f t="shared" ca="1" si="23"/>
        <v>0</v>
      </c>
      <c r="M72" s="517">
        <f t="shared" ca="1" si="23"/>
        <v>0</v>
      </c>
    </row>
    <row r="73" spans="1:13" ht="13.5" thickTop="1" x14ac:dyDescent="0.2">
      <c r="A73" s="433" t="s">
        <v>29</v>
      </c>
      <c r="E73" s="519"/>
      <c r="F73" s="519"/>
      <c r="G73" s="520"/>
      <c r="H73" s="521"/>
      <c r="I73" s="520"/>
      <c r="J73" s="522"/>
      <c r="K73" s="521"/>
      <c r="L73" s="520"/>
      <c r="M73" s="521"/>
    </row>
    <row r="74" spans="1:13" x14ac:dyDescent="0.2">
      <c r="A74" s="433" t="s">
        <v>29</v>
      </c>
    </row>
    <row r="75" spans="1:13" ht="16.5" thickBot="1" x14ac:dyDescent="0.3">
      <c r="A75" s="433" t="s">
        <v>29</v>
      </c>
      <c r="E75" s="434" t="s">
        <v>78</v>
      </c>
      <c r="F75" s="435"/>
      <c r="G75" s="435"/>
      <c r="H75" s="435"/>
      <c r="I75" s="435"/>
      <c r="J75" s="435"/>
      <c r="K75" s="435"/>
      <c r="L75" s="435"/>
      <c r="M75" s="435"/>
    </row>
    <row r="76" spans="1:13" ht="14.25" thickTop="1" thickBot="1" x14ac:dyDescent="0.25">
      <c r="A76" s="433" t="s">
        <v>29</v>
      </c>
      <c r="E76" s="1068" t="s">
        <v>79</v>
      </c>
      <c r="F76" s="1055"/>
      <c r="G76" s="1055"/>
      <c r="H76" s="1055" t="s">
        <v>80</v>
      </c>
      <c r="I76" s="1055"/>
      <c r="J76" s="1055"/>
      <c r="K76" s="1055" t="s">
        <v>81</v>
      </c>
      <c r="L76" s="1055"/>
      <c r="M76" s="1056"/>
    </row>
    <row r="77" spans="1:13" ht="13.5" thickTop="1" x14ac:dyDescent="0.2">
      <c r="A77" s="433" t="s">
        <v>29</v>
      </c>
      <c r="E77" s="1057"/>
      <c r="F77" s="1058"/>
      <c r="G77" s="1058"/>
      <c r="H77" s="1057"/>
      <c r="I77" s="1058"/>
      <c r="J77" s="1059"/>
      <c r="K77" s="1058"/>
      <c r="L77" s="1058"/>
      <c r="M77" s="1059"/>
    </row>
    <row r="78" spans="1:13" ht="13.5" thickBot="1" x14ac:dyDescent="0.25">
      <c r="A78" s="433" t="s">
        <v>29</v>
      </c>
      <c r="E78" s="1060"/>
      <c r="F78" s="1061"/>
      <c r="G78" s="1061"/>
      <c r="H78" s="1060"/>
      <c r="I78" s="1061"/>
      <c r="J78" s="1062"/>
      <c r="K78" s="1061"/>
      <c r="L78" s="1061"/>
      <c r="M78" s="1062"/>
    </row>
    <row r="79" spans="1:13" ht="13.5" thickTop="1" x14ac:dyDescent="0.2">
      <c r="A79" s="433" t="s">
        <v>29</v>
      </c>
      <c r="E79" s="523"/>
      <c r="F79" s="523"/>
      <c r="G79" s="523"/>
      <c r="H79" s="523"/>
      <c r="I79" s="523"/>
      <c r="J79" s="523"/>
      <c r="K79" s="523"/>
      <c r="L79" s="523"/>
      <c r="M79" s="523"/>
    </row>
    <row r="80" spans="1:13" x14ac:dyDescent="0.2">
      <c r="A80" s="433" t="s">
        <v>29</v>
      </c>
    </row>
    <row r="81" spans="1:13" ht="13.5" thickBot="1" x14ac:dyDescent="0.25">
      <c r="A81" s="433" t="s">
        <v>29</v>
      </c>
    </row>
    <row r="82" spans="1:13" ht="14.25" thickTop="1" thickBot="1" x14ac:dyDescent="0.25">
      <c r="A82" s="433" t="s">
        <v>29</v>
      </c>
      <c r="E82" s="1068" t="s">
        <v>82</v>
      </c>
      <c r="F82" s="1055"/>
      <c r="G82" s="1055"/>
      <c r="H82" s="1068" t="s">
        <v>83</v>
      </c>
      <c r="I82" s="1055"/>
      <c r="J82" s="1056"/>
      <c r="K82" s="1055" t="s">
        <v>83</v>
      </c>
      <c r="L82" s="1055"/>
      <c r="M82" s="1056"/>
    </row>
    <row r="83" spans="1:13" ht="13.5" thickTop="1" x14ac:dyDescent="0.2">
      <c r="A83" s="433" t="s">
        <v>29</v>
      </c>
      <c r="E83" s="1088">
        <f>G11</f>
        <v>43951</v>
      </c>
      <c r="F83" s="1089"/>
      <c r="G83" s="1090"/>
      <c r="H83" s="445" t="s">
        <v>84</v>
      </c>
      <c r="I83" s="446"/>
      <c r="J83" s="524">
        <f ca="1">SUMIF(B16:B36,"A",J16:J36)</f>
        <v>183625.50000000003</v>
      </c>
      <c r="K83" s="446" t="s">
        <v>84</v>
      </c>
      <c r="L83" s="446"/>
      <c r="M83" s="524">
        <f ca="1">SUMIF(B41:B63,"A",J41:J63)</f>
        <v>214516.41387046114</v>
      </c>
    </row>
    <row r="84" spans="1:13" x14ac:dyDescent="0.2">
      <c r="A84" s="433" t="s">
        <v>29</v>
      </c>
      <c r="E84" s="1091"/>
      <c r="F84" s="1092"/>
      <c r="G84" s="1093"/>
      <c r="H84" s="445" t="s">
        <v>85</v>
      </c>
      <c r="I84" s="446"/>
      <c r="J84" s="525">
        <f ca="1">L36</f>
        <v>216317.80565138962</v>
      </c>
      <c r="K84" s="446" t="s">
        <v>85</v>
      </c>
      <c r="L84" s="446"/>
      <c r="M84" s="525">
        <f ca="1">L63</f>
        <v>214643.15654555958</v>
      </c>
    </row>
    <row r="85" spans="1:13" ht="13.5" thickBot="1" x14ac:dyDescent="0.25">
      <c r="A85" s="433" t="s">
        <v>29</v>
      </c>
      <c r="E85" s="1094"/>
      <c r="F85" s="1095"/>
      <c r="G85" s="1096"/>
      <c r="H85" s="451" t="s">
        <v>86</v>
      </c>
      <c r="I85" s="452"/>
      <c r="J85" s="526">
        <f ca="1">J83/J84</f>
        <v>0.84886909538979238</v>
      </c>
      <c r="K85" s="452" t="s">
        <v>86</v>
      </c>
      <c r="L85" s="452"/>
      <c r="M85" s="526">
        <f ca="1">IF(M83=0,0,M83/M84)</f>
        <v>0.99940951914266341</v>
      </c>
    </row>
    <row r="86" spans="1:13" ht="14.25" thickTop="1" thickBot="1" x14ac:dyDescent="0.25">
      <c r="A86" s="433" t="s">
        <v>29</v>
      </c>
    </row>
    <row r="87" spans="1:13" ht="14.25" thickTop="1" thickBot="1" x14ac:dyDescent="0.25">
      <c r="A87" s="433" t="s">
        <v>29</v>
      </c>
      <c r="E87" s="1097" t="s">
        <v>87</v>
      </c>
      <c r="F87" s="1098"/>
      <c r="G87" s="1098"/>
      <c r="H87" s="1098"/>
      <c r="I87" s="527">
        <f>SUMIF(F16:F36,"Sinal",J16:J36)/J36</f>
        <v>0.01</v>
      </c>
      <c r="J87" s="528" t="s">
        <v>88</v>
      </c>
      <c r="K87" s="529"/>
      <c r="L87" s="529"/>
      <c r="M87" s="527">
        <f ca="1">IF(J63=0,0,SUMIF(F41:F62,"Sinal",J41:J62)/J63)</f>
        <v>0.23891667498902949</v>
      </c>
    </row>
    <row r="88" spans="1:13" ht="14.25" thickTop="1" thickBot="1" x14ac:dyDescent="0.25">
      <c r="A88" s="433" t="s">
        <v>29</v>
      </c>
    </row>
    <row r="89" spans="1:13" ht="14.25" thickTop="1" thickBot="1" x14ac:dyDescent="0.25">
      <c r="A89" s="433" t="s">
        <v>29</v>
      </c>
      <c r="E89" s="1084" t="s">
        <v>89</v>
      </c>
      <c r="F89" s="1085"/>
      <c r="G89" s="1086">
        <f ca="1">M36</f>
        <v>210065.01340327185</v>
      </c>
      <c r="H89" s="1087"/>
      <c r="I89" s="530" t="s">
        <v>90</v>
      </c>
      <c r="J89" s="531">
        <f ca="1">M63</f>
        <v>210065.01340327191</v>
      </c>
      <c r="K89" s="530" t="s">
        <v>91</v>
      </c>
      <c r="L89" s="532">
        <f ca="1">G89-J89</f>
        <v>0</v>
      </c>
      <c r="M89" s="533">
        <f ca="1">L89/G89</f>
        <v>0</v>
      </c>
    </row>
    <row r="90" spans="1:13" ht="13.5" thickTop="1" x14ac:dyDescent="0.2"/>
  </sheetData>
  <sheetProtection password="FC71" sheet="1" objects="1" scenarios="1"/>
  <autoFilter ref="A1:A90"/>
  <mergeCells count="39">
    <mergeCell ref="E89:F89"/>
    <mergeCell ref="G89:H89"/>
    <mergeCell ref="F14:G15"/>
    <mergeCell ref="E83:G85"/>
    <mergeCell ref="E87:H87"/>
    <mergeCell ref="E77:G78"/>
    <mergeCell ref="E71:F71"/>
    <mergeCell ref="E39:E40"/>
    <mergeCell ref="E14:E15"/>
    <mergeCell ref="E36:H36"/>
    <mergeCell ref="I39:J39"/>
    <mergeCell ref="E82:G82"/>
    <mergeCell ref="H82:J82"/>
    <mergeCell ref="E63:H63"/>
    <mergeCell ref="I14:J14"/>
    <mergeCell ref="F39:G40"/>
    <mergeCell ref="G67:H67"/>
    <mergeCell ref="E72:F72"/>
    <mergeCell ref="E70:F70"/>
    <mergeCell ref="N3:O3"/>
    <mergeCell ref="O39:O40"/>
    <mergeCell ref="M39:M40"/>
    <mergeCell ref="M14:M15"/>
    <mergeCell ref="N39:N40"/>
    <mergeCell ref="L3:M3"/>
    <mergeCell ref="L9:M9"/>
    <mergeCell ref="K14:L14"/>
    <mergeCell ref="K39:L39"/>
    <mergeCell ref="N38:O38"/>
    <mergeCell ref="K82:M82"/>
    <mergeCell ref="H77:J78"/>
    <mergeCell ref="E67:F68"/>
    <mergeCell ref="E69:F69"/>
    <mergeCell ref="K77:M78"/>
    <mergeCell ref="K76:M76"/>
    <mergeCell ref="H76:J76"/>
    <mergeCell ref="I67:K67"/>
    <mergeCell ref="L67:M67"/>
    <mergeCell ref="E76:G76"/>
  </mergeCells>
  <phoneticPr fontId="2" type="noConversion"/>
  <conditionalFormatting sqref="I62">
    <cfRule type="cellIs" dxfId="3" priority="1" stopIfTrue="1" operator="greaterThan">
      <formula>$S$39</formula>
    </cfRule>
  </conditionalFormatting>
  <dataValidations count="2">
    <dataValidation type="list" allowBlank="1" showInputMessage="1" showErrorMessage="1" sqref="F41:F62 F16:F35">
      <formula1>$Y$5:$Y$9</formula1>
    </dataValidation>
    <dataValidation type="list" allowBlank="1" showInputMessage="1" showErrorMessage="1" sqref="G41:G62 G16:G35">
      <formula1>$Z$5:$Z$6</formula1>
    </dataValidation>
  </dataValidations>
  <printOptions horizontalCentered="1"/>
  <pageMargins left="0.55118110236220474" right="0.55118110236220474" top="0.78740157480314965" bottom="0.78740157480314965" header="0.31496062992125984" footer="0.51181102362204722"/>
  <pageSetup paperSize="9" scale="61" orientation="portrait" horizontalDpi="4294967292" r:id="rId1"/>
  <headerFooter alignWithMargins="0"/>
  <cellWatches>
    <cellWatch r="F62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Button 2">
              <controlPr defaultSize="0" print="0" autoFill="0" autoPict="0" macro="[0]!SemComissao">
                <anchor moveWithCells="1" sizeWithCells="1">
                  <from>
                    <xdr:col>13</xdr:col>
                    <xdr:colOff>95250</xdr:colOff>
                    <xdr:row>3</xdr:row>
                    <xdr:rowOff>76200</xdr:rowOff>
                  </from>
                  <to>
                    <xdr:col>14</xdr:col>
                    <xdr:colOff>571500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Button 3">
              <controlPr defaultSize="0" print="0" autoFill="0" autoPict="0" macro="[0]!Com_Comissão">
                <anchor moveWithCells="1" sizeWithCells="1">
                  <from>
                    <xdr:col>13</xdr:col>
                    <xdr:colOff>114300</xdr:colOff>
                    <xdr:row>5</xdr:row>
                    <xdr:rowOff>152400</xdr:rowOff>
                  </from>
                  <to>
                    <xdr:col>14</xdr:col>
                    <xdr:colOff>561975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C308"/>
  <sheetViews>
    <sheetView topLeftCell="A156" workbookViewId="0">
      <selection activeCell="E131" sqref="E131"/>
    </sheetView>
  </sheetViews>
  <sheetFormatPr defaultRowHeight="12.75" x14ac:dyDescent="0.2"/>
  <cols>
    <col min="1" max="2" width="10.140625" style="536" bestFit="1" customWidth="1"/>
    <col min="3" max="3" width="21.140625" style="536" bestFit="1" customWidth="1"/>
    <col min="4" max="16384" width="9.140625" style="536"/>
  </cols>
  <sheetData>
    <row r="1" spans="1:3" x14ac:dyDescent="0.2">
      <c r="B1" s="537">
        <v>36892</v>
      </c>
      <c r="C1" s="537">
        <v>41913</v>
      </c>
    </row>
    <row r="2" spans="1:3" x14ac:dyDescent="0.2">
      <c r="A2" s="537">
        <v>38899</v>
      </c>
      <c r="B2" s="536" t="str">
        <f ca="1">+IF(DATE(YEAR('Proposta 1 Via'!$G$10),MONTH('Proposta 1 Via'!$G$10),DAY(Meses!$B$1))=Meses!A2,0,IF(Meses!A2&lt;'Proposta 1 Via'!$G$10,"",B1+1))</f>
        <v/>
      </c>
      <c r="C2" s="537">
        <v>42036</v>
      </c>
    </row>
    <row r="3" spans="1:3" x14ac:dyDescent="0.2">
      <c r="A3" s="537">
        <v>38930</v>
      </c>
      <c r="B3" s="536" t="str">
        <f ca="1">+IF(DATE(YEAR('Proposta 1 Via'!$G$10),MONTH('Proposta 1 Via'!$G$10),DAY(Meses!$B$1))=Meses!A3,0,IF(Meses!A3&lt;'Proposta 1 Via'!$G$10,"",B2+1))</f>
        <v/>
      </c>
    </row>
    <row r="4" spans="1:3" x14ac:dyDescent="0.2">
      <c r="A4" s="537">
        <v>38961</v>
      </c>
      <c r="B4" s="536" t="str">
        <f ca="1">+IF(DATE(YEAR('Proposta 1 Via'!$G$10),MONTH('Proposta 1 Via'!$G$10),DAY(Meses!$B$1))=Meses!A4,0,IF(Meses!A4&lt;'Proposta 1 Via'!$G$10,"",B3+1))</f>
        <v/>
      </c>
    </row>
    <row r="5" spans="1:3" x14ac:dyDescent="0.2">
      <c r="A5" s="537">
        <v>38991</v>
      </c>
      <c r="B5" s="536" t="str">
        <f ca="1">+IF(DATE(YEAR('Proposta 1 Via'!$G$10),MONTH('Proposta 1 Via'!$G$10),DAY(Meses!$B$1))=Meses!A5,0,IF(Meses!A5&lt;'Proposta 1 Via'!$G$10,"",B4+1))</f>
        <v/>
      </c>
    </row>
    <row r="6" spans="1:3" x14ac:dyDescent="0.2">
      <c r="A6" s="537">
        <v>39022</v>
      </c>
      <c r="B6" s="536" t="str">
        <f ca="1">+IF(DATE(YEAR('Proposta 1 Via'!$G$10),MONTH('Proposta 1 Via'!$G$10),DAY(Meses!$B$1))=Meses!A6,0,IF(Meses!A6&lt;'Proposta 1 Via'!$G$10,"",B5+1))</f>
        <v/>
      </c>
    </row>
    <row r="7" spans="1:3" x14ac:dyDescent="0.2">
      <c r="A7" s="537">
        <v>39052</v>
      </c>
      <c r="B7" s="536" t="str">
        <f ca="1">+IF(DATE(YEAR('Proposta 1 Via'!$G$10),MONTH('Proposta 1 Via'!$G$10),DAY(Meses!$B$1))=Meses!A7,0,IF(Meses!A7&lt;'Proposta 1 Via'!$G$10,"",B6+1))</f>
        <v/>
      </c>
    </row>
    <row r="8" spans="1:3" x14ac:dyDescent="0.2">
      <c r="A8" s="537">
        <v>39083</v>
      </c>
      <c r="B8" s="536" t="str">
        <f ca="1">+IF(DATE(YEAR('Proposta 1 Via'!$G$10),MONTH('Proposta 1 Via'!$G$10),DAY(Meses!$B$1))=Meses!A8,0,IF(Meses!A8&lt;'Proposta 1 Via'!$G$10,"",B7+1))</f>
        <v/>
      </c>
    </row>
    <row r="9" spans="1:3" x14ac:dyDescent="0.2">
      <c r="A9" s="537">
        <v>39114</v>
      </c>
      <c r="B9" s="536" t="str">
        <f ca="1">+IF(DATE(YEAR('Proposta 1 Via'!$G$10),MONTH('Proposta 1 Via'!$G$10),DAY(Meses!$B$1))=Meses!A9,0,IF(Meses!A9&lt;'Proposta 1 Via'!$G$10,"",B8+1))</f>
        <v/>
      </c>
    </row>
    <row r="10" spans="1:3" x14ac:dyDescent="0.2">
      <c r="A10" s="537">
        <v>39142</v>
      </c>
      <c r="B10" s="536" t="str">
        <f ca="1">+IF(DATE(YEAR('Proposta 1 Via'!$G$10),MONTH('Proposta 1 Via'!$G$10),DAY(Meses!$B$1))=Meses!A10,0,IF(Meses!A10&lt;'Proposta 1 Via'!$G$10,"",B9+1))</f>
        <v/>
      </c>
    </row>
    <row r="11" spans="1:3" x14ac:dyDescent="0.2">
      <c r="A11" s="537">
        <v>39173</v>
      </c>
      <c r="B11" s="536" t="str">
        <f ca="1">+IF(DATE(YEAR('Proposta 1 Via'!$G$10),MONTH('Proposta 1 Via'!$G$10),DAY(Meses!$B$1))=Meses!A11,0,IF(Meses!A11&lt;'Proposta 1 Via'!$G$10,"",B10+1))</f>
        <v/>
      </c>
    </row>
    <row r="12" spans="1:3" x14ac:dyDescent="0.2">
      <c r="A12" s="537">
        <v>39203</v>
      </c>
      <c r="B12" s="536" t="str">
        <f ca="1">+IF(DATE(YEAR('Proposta 1 Via'!$G$10),MONTH('Proposta 1 Via'!$G$10),DAY(Meses!$B$1))=Meses!A12,0,IF(Meses!A12&lt;'Proposta 1 Via'!$G$10,"",B11+1))</f>
        <v/>
      </c>
    </row>
    <row r="13" spans="1:3" x14ac:dyDescent="0.2">
      <c r="A13" s="537">
        <v>39234</v>
      </c>
      <c r="B13" s="536" t="str">
        <f ca="1">+IF(DATE(YEAR('Proposta 1 Via'!$G$10),MONTH('Proposta 1 Via'!$G$10),DAY(Meses!$B$1))=Meses!A13,0,IF(Meses!A13&lt;'Proposta 1 Via'!$G$10,"",B12+1))</f>
        <v/>
      </c>
    </row>
    <row r="14" spans="1:3" x14ac:dyDescent="0.2">
      <c r="A14" s="537">
        <v>39264</v>
      </c>
      <c r="B14" s="536" t="str">
        <f ca="1">+IF(DATE(YEAR('Proposta 1 Via'!$G$10),MONTH('Proposta 1 Via'!$G$10),DAY(Meses!$B$1))=Meses!A14,0,IF(Meses!A14&lt;'Proposta 1 Via'!$G$10,"",B13+1))</f>
        <v/>
      </c>
    </row>
    <row r="15" spans="1:3" x14ac:dyDescent="0.2">
      <c r="A15" s="537">
        <v>39295</v>
      </c>
      <c r="B15" s="536" t="str">
        <f ca="1">+IF(DATE(YEAR('Proposta 1 Via'!$G$10),MONTH('Proposta 1 Via'!$G$10),DAY(Meses!$B$1))=Meses!A15,0,IF(Meses!A15&lt;'Proposta 1 Via'!$G$10,"",B14+1))</f>
        <v/>
      </c>
    </row>
    <row r="16" spans="1:3" x14ac:dyDescent="0.2">
      <c r="A16" s="537">
        <v>39326</v>
      </c>
      <c r="B16" s="536" t="str">
        <f ca="1">+IF(DATE(YEAR('Proposta 1 Via'!$G$10),MONTH('Proposta 1 Via'!$G$10),DAY(Meses!$B$1))=Meses!A16,0,IF(Meses!A16&lt;'Proposta 1 Via'!$G$10,"",B15+1))</f>
        <v/>
      </c>
    </row>
    <row r="17" spans="1:2" x14ac:dyDescent="0.2">
      <c r="A17" s="537">
        <v>39356</v>
      </c>
      <c r="B17" s="536" t="str">
        <f ca="1">+IF(DATE(YEAR('Proposta 1 Via'!$G$10),MONTH('Proposta 1 Via'!$G$10),DAY(Meses!$B$1))=Meses!A17,0,IF(Meses!A17&lt;'Proposta 1 Via'!$G$10,"",B16+1))</f>
        <v/>
      </c>
    </row>
    <row r="18" spans="1:2" x14ac:dyDescent="0.2">
      <c r="A18" s="537">
        <v>39387</v>
      </c>
      <c r="B18" s="536" t="str">
        <f ca="1">+IF(DATE(YEAR('Proposta 1 Via'!$G$10),MONTH('Proposta 1 Via'!$G$10),DAY(Meses!$B$1))=Meses!A18,0,IF(Meses!A18&lt;'Proposta 1 Via'!$G$10,"",B17+1))</f>
        <v/>
      </c>
    </row>
    <row r="19" spans="1:2" x14ac:dyDescent="0.2">
      <c r="A19" s="537">
        <v>39417</v>
      </c>
      <c r="B19" s="536" t="str">
        <f ca="1">+IF(DATE(YEAR('Proposta 1 Via'!$G$10),MONTH('Proposta 1 Via'!$G$10),DAY(Meses!$B$1))=Meses!A19,0,IF(Meses!A19&lt;'Proposta 1 Via'!$G$10,"",B18+1))</f>
        <v/>
      </c>
    </row>
    <row r="20" spans="1:2" x14ac:dyDescent="0.2">
      <c r="A20" s="537">
        <v>39448</v>
      </c>
      <c r="B20" s="536" t="str">
        <f ca="1">+IF(DATE(YEAR('Proposta 1 Via'!$G$10),MONTH('Proposta 1 Via'!$G$10),DAY(Meses!$B$1))=Meses!A20,0,IF(Meses!A20&lt;'Proposta 1 Via'!$G$10,"",B19+1))</f>
        <v/>
      </c>
    </row>
    <row r="21" spans="1:2" x14ac:dyDescent="0.2">
      <c r="A21" s="537">
        <v>39479</v>
      </c>
      <c r="B21" s="536" t="str">
        <f ca="1">+IF(DATE(YEAR('Proposta 1 Via'!$G$10),MONTH('Proposta 1 Via'!$G$10),DAY(Meses!$B$1))=Meses!A21,0,IF(Meses!A21&lt;'Proposta 1 Via'!$G$10,"",B20+1))</f>
        <v/>
      </c>
    </row>
    <row r="22" spans="1:2" x14ac:dyDescent="0.2">
      <c r="A22" s="537">
        <v>39508</v>
      </c>
      <c r="B22" s="536" t="str">
        <f ca="1">+IF(DATE(YEAR('Proposta 1 Via'!$G$10),MONTH('Proposta 1 Via'!$G$10),DAY(Meses!$B$1))=Meses!A22,0,IF(Meses!A22&lt;'Proposta 1 Via'!$G$10,"",B21+1))</f>
        <v/>
      </c>
    </row>
    <row r="23" spans="1:2" x14ac:dyDescent="0.2">
      <c r="A23" s="537">
        <v>39539</v>
      </c>
      <c r="B23" s="536" t="str">
        <f ca="1">+IF(DATE(YEAR('Proposta 1 Via'!$G$10),MONTH('Proposta 1 Via'!$G$10),DAY(Meses!$B$1))=Meses!A23,0,IF(Meses!A23&lt;'Proposta 1 Via'!$G$10,"",B22+1))</f>
        <v/>
      </c>
    </row>
    <row r="24" spans="1:2" x14ac:dyDescent="0.2">
      <c r="A24" s="537">
        <v>39569</v>
      </c>
      <c r="B24" s="536" t="str">
        <f ca="1">+IF(DATE(YEAR('Proposta 1 Via'!$G$10),MONTH('Proposta 1 Via'!$G$10),DAY(Meses!$B$1))=Meses!A24,0,IF(Meses!A24&lt;'Proposta 1 Via'!$G$10,"",B23+1))</f>
        <v/>
      </c>
    </row>
    <row r="25" spans="1:2" x14ac:dyDescent="0.2">
      <c r="A25" s="537">
        <v>39600</v>
      </c>
      <c r="B25" s="536" t="str">
        <f ca="1">+IF(DATE(YEAR('Proposta 1 Via'!$G$10),MONTH('Proposta 1 Via'!$G$10),DAY(Meses!$B$1))=Meses!A25,0,IF(Meses!A25&lt;'Proposta 1 Via'!$G$10,"",B24+1))</f>
        <v/>
      </c>
    </row>
    <row r="26" spans="1:2" x14ac:dyDescent="0.2">
      <c r="A26" s="537">
        <v>39630</v>
      </c>
      <c r="B26" s="536" t="str">
        <f ca="1">+IF(DATE(YEAR('Proposta 1 Via'!$G$10),MONTH('Proposta 1 Via'!$G$10),DAY(Meses!$B$1))=Meses!A26,0,IF(Meses!A26&lt;'Proposta 1 Via'!$G$10,"",B25+1))</f>
        <v/>
      </c>
    </row>
    <row r="27" spans="1:2" x14ac:dyDescent="0.2">
      <c r="A27" s="537">
        <v>39661</v>
      </c>
      <c r="B27" s="536" t="str">
        <f ca="1">+IF(DATE(YEAR('Proposta 1 Via'!$G$10),MONTH('Proposta 1 Via'!$G$10),DAY(Meses!$B$1))=Meses!A27,0,IF(Meses!A27&lt;'Proposta 1 Via'!$G$10,"",B26+1))</f>
        <v/>
      </c>
    </row>
    <row r="28" spans="1:2" x14ac:dyDescent="0.2">
      <c r="A28" s="537">
        <v>39692</v>
      </c>
      <c r="B28" s="536" t="str">
        <f ca="1">+IF(DATE(YEAR('Proposta 1 Via'!$G$10),MONTH('Proposta 1 Via'!$G$10),DAY(Meses!$B$1))=Meses!A28,0,IF(Meses!A28&lt;'Proposta 1 Via'!$G$10,"",B27+1))</f>
        <v/>
      </c>
    </row>
    <row r="29" spans="1:2" x14ac:dyDescent="0.2">
      <c r="A29" s="537">
        <v>39722</v>
      </c>
      <c r="B29" s="536" t="str">
        <f ca="1">+IF(DATE(YEAR('Proposta 1 Via'!$G$10),MONTH('Proposta 1 Via'!$G$10),DAY(Meses!$B$1))=Meses!A29,0,IF(Meses!A29&lt;'Proposta 1 Via'!$G$10,"",B28+1))</f>
        <v/>
      </c>
    </row>
    <row r="30" spans="1:2" x14ac:dyDescent="0.2">
      <c r="A30" s="537">
        <v>39753</v>
      </c>
      <c r="B30" s="536" t="str">
        <f ca="1">+IF(DATE(YEAR('Proposta 1 Via'!$G$10),MONTH('Proposta 1 Via'!$G$10),DAY(Meses!$B$1))=Meses!A30,0,IF(Meses!A30&lt;'Proposta 1 Via'!$G$10,"",B29+1))</f>
        <v/>
      </c>
    </row>
    <row r="31" spans="1:2" x14ac:dyDescent="0.2">
      <c r="A31" s="537">
        <v>39783</v>
      </c>
      <c r="B31" s="536" t="str">
        <f ca="1">+IF(DATE(YEAR('Proposta 1 Via'!$G$10),MONTH('Proposta 1 Via'!$G$10),DAY(Meses!$B$1))=Meses!A31,0,IF(Meses!A31&lt;'Proposta 1 Via'!$G$10,"",B30+1))</f>
        <v/>
      </c>
    </row>
    <row r="32" spans="1:2" x14ac:dyDescent="0.2">
      <c r="A32" s="537">
        <v>39814</v>
      </c>
      <c r="B32" s="536" t="str">
        <f ca="1">+IF(DATE(YEAR('Proposta 1 Via'!$G$10),MONTH('Proposta 1 Via'!$G$10),DAY(Meses!$B$1))=Meses!A32,0,IF(Meses!A32&lt;'Proposta 1 Via'!$G$10,"",B31+1))</f>
        <v/>
      </c>
    </row>
    <row r="33" spans="1:2" x14ac:dyDescent="0.2">
      <c r="A33" s="537">
        <v>39845</v>
      </c>
      <c r="B33" s="536" t="str">
        <f ca="1">+IF(DATE(YEAR('Proposta 1 Via'!$G$10),MONTH('Proposta 1 Via'!$G$10),DAY(Meses!$B$1))=Meses!A33,0,IF(Meses!A33&lt;'Proposta 1 Via'!$G$10,"",B32+1))</f>
        <v/>
      </c>
    </row>
    <row r="34" spans="1:2" x14ac:dyDescent="0.2">
      <c r="A34" s="537">
        <v>39873</v>
      </c>
      <c r="B34" s="536" t="str">
        <f ca="1">+IF(DATE(YEAR('Proposta 1 Via'!$G$10),MONTH('Proposta 1 Via'!$G$10),DAY(Meses!$B$1))=Meses!A34,0,IF(Meses!A34&lt;'Proposta 1 Via'!$G$10,"",B33+1))</f>
        <v/>
      </c>
    </row>
    <row r="35" spans="1:2" x14ac:dyDescent="0.2">
      <c r="A35" s="537">
        <v>39904</v>
      </c>
      <c r="B35" s="536" t="str">
        <f ca="1">+IF(DATE(YEAR('Proposta 1 Via'!$G$10),MONTH('Proposta 1 Via'!$G$10),DAY(Meses!$B$1))=Meses!A35,0,IF(Meses!A35&lt;'Proposta 1 Via'!$G$10,"",B34+1))</f>
        <v/>
      </c>
    </row>
    <row r="36" spans="1:2" x14ac:dyDescent="0.2">
      <c r="A36" s="537">
        <v>39934</v>
      </c>
      <c r="B36" s="536" t="str">
        <f ca="1">+IF(DATE(YEAR('Proposta 1 Via'!$G$10),MONTH('Proposta 1 Via'!$G$10),DAY(Meses!$B$1))=Meses!A36,0,IF(Meses!A36&lt;'Proposta 1 Via'!$G$10,"",B35+1))</f>
        <v/>
      </c>
    </row>
    <row r="37" spans="1:2" x14ac:dyDescent="0.2">
      <c r="A37" s="537">
        <v>39965</v>
      </c>
      <c r="B37" s="536" t="str">
        <f ca="1">+IF(DATE(YEAR('Proposta 1 Via'!$G$10),MONTH('Proposta 1 Via'!$G$10),DAY(Meses!$B$1))=Meses!A37,0,IF(Meses!A37&lt;'Proposta 1 Via'!$G$10,"",B36+1))</f>
        <v/>
      </c>
    </row>
    <row r="38" spans="1:2" x14ac:dyDescent="0.2">
      <c r="A38" s="537">
        <v>39995</v>
      </c>
      <c r="B38" s="536" t="str">
        <f ca="1">+IF(DATE(YEAR('Proposta 1 Via'!$G$10),MONTH('Proposta 1 Via'!$G$10),DAY(Meses!$B$1))=Meses!A38,0,IF(Meses!A38&lt;'Proposta 1 Via'!$G$10,"",B37+1))</f>
        <v/>
      </c>
    </row>
    <row r="39" spans="1:2" x14ac:dyDescent="0.2">
      <c r="A39" s="537">
        <v>40026</v>
      </c>
      <c r="B39" s="536" t="str">
        <f ca="1">+IF(DATE(YEAR('Proposta 1 Via'!$G$10),MONTH('Proposta 1 Via'!$G$10),DAY(Meses!$B$1))=Meses!A39,0,IF(Meses!A39&lt;'Proposta 1 Via'!$G$10,"",B38+1))</f>
        <v/>
      </c>
    </row>
    <row r="40" spans="1:2" x14ac:dyDescent="0.2">
      <c r="A40" s="537">
        <v>40057</v>
      </c>
      <c r="B40" s="536" t="str">
        <f ca="1">+IF(DATE(YEAR('Proposta 1 Via'!$G$10),MONTH('Proposta 1 Via'!$G$10),DAY(Meses!$B$1))=Meses!A40,0,IF(Meses!A40&lt;'Proposta 1 Via'!$G$10,"",B39+1))</f>
        <v/>
      </c>
    </row>
    <row r="41" spans="1:2" x14ac:dyDescent="0.2">
      <c r="A41" s="537">
        <v>40087</v>
      </c>
      <c r="B41" s="536" t="str">
        <f ca="1">+IF(DATE(YEAR('Proposta 1 Via'!$G$10),MONTH('Proposta 1 Via'!$G$10),DAY(Meses!$B$1))=Meses!A41,0,IF(Meses!A41&lt;'Proposta 1 Via'!$G$10,"",B40+1))</f>
        <v/>
      </c>
    </row>
    <row r="42" spans="1:2" x14ac:dyDescent="0.2">
      <c r="A42" s="537">
        <v>40118</v>
      </c>
      <c r="B42" s="536" t="str">
        <f ca="1">+IF(DATE(YEAR('Proposta 1 Via'!$G$10),MONTH('Proposta 1 Via'!$G$10),DAY(Meses!$B$1))=Meses!A42,0,IF(Meses!A42&lt;'Proposta 1 Via'!$G$10,"",B41+1))</f>
        <v/>
      </c>
    </row>
    <row r="43" spans="1:2" x14ac:dyDescent="0.2">
      <c r="A43" s="537">
        <v>40148</v>
      </c>
      <c r="B43" s="536" t="str">
        <f ca="1">+IF(DATE(YEAR('Proposta 1 Via'!$G$10),MONTH('Proposta 1 Via'!$G$10),DAY(Meses!$B$1))=Meses!A43,0,IF(Meses!A43&lt;'Proposta 1 Via'!$G$10,"",B42+1))</f>
        <v/>
      </c>
    </row>
    <row r="44" spans="1:2" x14ac:dyDescent="0.2">
      <c r="A44" s="537">
        <v>40179</v>
      </c>
      <c r="B44" s="536" t="str">
        <f ca="1">+IF(DATE(YEAR('Proposta 1 Via'!$G$10),MONTH('Proposta 1 Via'!$G$10),DAY(Meses!$B$1))=Meses!A44,0,IF(Meses!A44&lt;'Proposta 1 Via'!$G$10,"",B43+1))</f>
        <v/>
      </c>
    </row>
    <row r="45" spans="1:2" x14ac:dyDescent="0.2">
      <c r="A45" s="537">
        <v>40210</v>
      </c>
      <c r="B45" s="536" t="str">
        <f ca="1">+IF(DATE(YEAR('Proposta 1 Via'!$G$10),MONTH('Proposta 1 Via'!$G$10),DAY(Meses!$B$1))=Meses!A45,0,IF(Meses!A45&lt;'Proposta 1 Via'!$G$10,"",B44+1))</f>
        <v/>
      </c>
    </row>
    <row r="46" spans="1:2" x14ac:dyDescent="0.2">
      <c r="A46" s="537">
        <v>40238</v>
      </c>
      <c r="B46" s="536" t="str">
        <f ca="1">+IF(DATE(YEAR('Proposta 1 Via'!$G$10),MONTH('Proposta 1 Via'!$G$10),DAY(Meses!$B$1))=Meses!A46,0,IF(Meses!A46&lt;'Proposta 1 Via'!$G$10,"",B45+1))</f>
        <v/>
      </c>
    </row>
    <row r="47" spans="1:2" x14ac:dyDescent="0.2">
      <c r="A47" s="537">
        <v>40269</v>
      </c>
      <c r="B47" s="536" t="str">
        <f ca="1">+IF(DATE(YEAR('Proposta 1 Via'!$G$10),MONTH('Proposta 1 Via'!$G$10),DAY(Meses!$B$1))=Meses!A47,0,IF(Meses!A47&lt;'Proposta 1 Via'!$G$10,"",B46+1))</f>
        <v/>
      </c>
    </row>
    <row r="48" spans="1:2" x14ac:dyDescent="0.2">
      <c r="A48" s="537">
        <v>40299</v>
      </c>
      <c r="B48" s="536" t="str">
        <f ca="1">+IF(DATE(YEAR('Proposta 1 Via'!$G$10),MONTH('Proposta 1 Via'!$G$10),DAY(Meses!$B$1))=Meses!A48,0,IF(Meses!A48&lt;'Proposta 1 Via'!$G$10,"",B47+1))</f>
        <v/>
      </c>
    </row>
    <row r="49" spans="1:2" x14ac:dyDescent="0.2">
      <c r="A49" s="537">
        <v>40330</v>
      </c>
      <c r="B49" s="536" t="str">
        <f ca="1">+IF(DATE(YEAR('Proposta 1 Via'!$G$10),MONTH('Proposta 1 Via'!$G$10),DAY(Meses!$B$1))=Meses!A49,0,IF(Meses!A49&lt;'Proposta 1 Via'!$G$10,"",B48+1))</f>
        <v/>
      </c>
    </row>
    <row r="50" spans="1:2" x14ac:dyDescent="0.2">
      <c r="A50" s="537">
        <v>40360</v>
      </c>
      <c r="B50" s="536" t="str">
        <f ca="1">+IF(DATE(YEAR('Proposta 1 Via'!$G$10),MONTH('Proposta 1 Via'!$G$10),DAY(Meses!$B$1))=Meses!A50,0,IF(Meses!A50&lt;'Proposta 1 Via'!$G$10,"",B49+1))</f>
        <v/>
      </c>
    </row>
    <row r="51" spans="1:2" x14ac:dyDescent="0.2">
      <c r="A51" s="537">
        <v>40391</v>
      </c>
      <c r="B51" s="536" t="str">
        <f ca="1">+IF(DATE(YEAR('Proposta 1 Via'!$G$10),MONTH('Proposta 1 Via'!$G$10),DAY(Meses!$B$1))=Meses!A51,0,IF(Meses!A51&lt;'Proposta 1 Via'!$G$10,"",B50+1))</f>
        <v/>
      </c>
    </row>
    <row r="52" spans="1:2" x14ac:dyDescent="0.2">
      <c r="A52" s="537">
        <v>40422</v>
      </c>
      <c r="B52" s="536" t="str">
        <f ca="1">+IF(DATE(YEAR('Proposta 1 Via'!$G$10),MONTH('Proposta 1 Via'!$G$10),DAY(Meses!$B$1))=Meses!A52,0,IF(Meses!A52&lt;'Proposta 1 Via'!$G$10,"",B51+1))</f>
        <v/>
      </c>
    </row>
    <row r="53" spans="1:2" x14ac:dyDescent="0.2">
      <c r="A53" s="537">
        <v>40452</v>
      </c>
    </row>
    <row r="54" spans="1:2" x14ac:dyDescent="0.2">
      <c r="A54" s="537">
        <v>40483</v>
      </c>
    </row>
    <row r="55" spans="1:2" x14ac:dyDescent="0.2">
      <c r="A55" s="537">
        <v>40513</v>
      </c>
    </row>
    <row r="56" spans="1:2" x14ac:dyDescent="0.2">
      <c r="A56" s="537">
        <v>40544</v>
      </c>
    </row>
    <row r="57" spans="1:2" x14ac:dyDescent="0.2">
      <c r="A57" s="537">
        <v>40575</v>
      </c>
    </row>
    <row r="58" spans="1:2" x14ac:dyDescent="0.2">
      <c r="A58" s="537">
        <v>40603</v>
      </c>
    </row>
    <row r="59" spans="1:2" x14ac:dyDescent="0.2">
      <c r="A59" s="537">
        <v>40634</v>
      </c>
    </row>
    <row r="60" spans="1:2" x14ac:dyDescent="0.2">
      <c r="A60" s="537">
        <v>40664</v>
      </c>
    </row>
    <row r="61" spans="1:2" x14ac:dyDescent="0.2">
      <c r="A61" s="537">
        <v>40695</v>
      </c>
    </row>
    <row r="62" spans="1:2" x14ac:dyDescent="0.2">
      <c r="A62" s="537">
        <v>40725</v>
      </c>
    </row>
    <row r="63" spans="1:2" x14ac:dyDescent="0.2">
      <c r="A63" s="537">
        <v>40756</v>
      </c>
    </row>
    <row r="64" spans="1:2" x14ac:dyDescent="0.2">
      <c r="A64" s="537">
        <v>40787</v>
      </c>
    </row>
    <row r="65" spans="1:3" x14ac:dyDescent="0.2">
      <c r="A65" s="537">
        <v>40817</v>
      </c>
      <c r="B65" s="536" t="str">
        <f ca="1">+IF(DATE(YEAR('Proposta 1 Via'!$G$10),MONTH('Proposta 1 Via'!$G$10),DAY(Meses!$B$1))=Meses!A65,0,IF(Meses!A65&lt;'Proposta 1 Via'!$G$10,"",B64+1))</f>
        <v/>
      </c>
    </row>
    <row r="66" spans="1:3" x14ac:dyDescent="0.2">
      <c r="A66" s="537">
        <v>40848</v>
      </c>
      <c r="B66" s="536" t="str">
        <f ca="1">+IF(DATE(YEAR('Proposta 1 Via'!$G$10),MONTH('Proposta 1 Via'!$G$10),DAY(Meses!$B$1))=Meses!A66,0,IF(Meses!A66&lt;'Proposta 1 Via'!$G$10,"",B65+1))</f>
        <v/>
      </c>
    </row>
    <row r="67" spans="1:3" x14ac:dyDescent="0.2">
      <c r="A67" s="537">
        <v>40878</v>
      </c>
      <c r="B67" s="536" t="str">
        <f ca="1">+IF(DATE(YEAR('Proposta 1 Via'!$G$10),MONTH('Proposta 1 Via'!$G$10),DAY(Meses!$B$1))=Meses!A67,0,IF(Meses!A67&lt;'Proposta 1 Via'!$G$10,"",B66+1))</f>
        <v/>
      </c>
    </row>
    <row r="68" spans="1:3" x14ac:dyDescent="0.2">
      <c r="A68" s="537">
        <v>40909</v>
      </c>
      <c r="B68" s="536" t="str">
        <f ca="1">+IF(DATE(YEAR('Proposta 1 Via'!$G$10),MONTH('Proposta 1 Via'!$G$10),DAY(Meses!$B$1))=Meses!A68,0,IF(Meses!A68&lt;'Proposta 1 Via'!$G$10,"",B67+1))</f>
        <v/>
      </c>
    </row>
    <row r="69" spans="1:3" x14ac:dyDescent="0.2">
      <c r="A69" s="537">
        <v>40940</v>
      </c>
      <c r="B69" s="536" t="str">
        <f ca="1">+IF(DATE(YEAR('Proposta 1 Via'!$G$10),MONTH('Proposta 1 Via'!$G$10),DAY(Meses!$B$1))=Meses!A69,0,IF(Meses!A69&lt;'Proposta 1 Via'!$G$10,"",B68+1))</f>
        <v/>
      </c>
    </row>
    <row r="70" spans="1:3" x14ac:dyDescent="0.2">
      <c r="A70" s="537">
        <v>40969</v>
      </c>
      <c r="B70" s="536" t="str">
        <f ca="1">+IF(DATE(YEAR('Proposta 1 Via'!$G$10),MONTH('Proposta 1 Via'!$G$10),DAY(Meses!$B$1))=Meses!A70,0,IF(Meses!A70&lt;'Proposta 1 Via'!$G$10,"",B69+1))</f>
        <v/>
      </c>
    </row>
    <row r="71" spans="1:3" x14ac:dyDescent="0.2">
      <c r="A71" s="537">
        <v>41000</v>
      </c>
      <c r="B71" s="536" t="str">
        <f ca="1">+IF(DATE(YEAR('Proposta 1 Via'!$G$10),MONTH('Proposta 1 Via'!$G$10),DAY(Meses!$B$1))=Meses!A71,0,IF(Meses!A71&lt;'Proposta 1 Via'!$G$10,"",B70+1))</f>
        <v/>
      </c>
    </row>
    <row r="72" spans="1:3" x14ac:dyDescent="0.2">
      <c r="A72" s="537">
        <v>41030</v>
      </c>
      <c r="B72" s="536" t="str">
        <f ca="1">+IF(DATE(YEAR('Proposta 1 Via'!$G$10),MONTH('Proposta 1 Via'!$G$10),DAY(Meses!$B$1))=Meses!A72,0,IF(Meses!A72&lt;'Proposta 1 Via'!$G$10,"",B71+1))</f>
        <v/>
      </c>
    </row>
    <row r="73" spans="1:3" x14ac:dyDescent="0.2">
      <c r="A73" s="537">
        <v>41061</v>
      </c>
      <c r="B73" s="536" t="str">
        <f ca="1">+IF(DATE(YEAR('Proposta 1 Via'!$G$10),MONTH('Proposta 1 Via'!$G$10),DAY(Meses!$B$1))=Meses!A73,0,IF(Meses!A73&lt;'Proposta 1 Via'!$G$10,"",B72+1))</f>
        <v/>
      </c>
    </row>
    <row r="74" spans="1:3" x14ac:dyDescent="0.2">
      <c r="A74" s="537">
        <v>41091</v>
      </c>
    </row>
    <row r="75" spans="1:3" x14ac:dyDescent="0.2">
      <c r="A75" s="537">
        <v>41122</v>
      </c>
    </row>
    <row r="76" spans="1:3" x14ac:dyDescent="0.2">
      <c r="A76" s="537">
        <v>41153</v>
      </c>
    </row>
    <row r="77" spans="1:3" x14ac:dyDescent="0.2">
      <c r="A77" s="537">
        <v>41183</v>
      </c>
      <c r="B77" s="536" t="str">
        <f ca="1">+IF(DATE(YEAR('Proposta 1 Via'!$G$10),MONTH('Proposta 1 Via'!$G$10),DAY(Meses!$B$1))=Meses!A77,0,IF(Meses!A77&lt;'Proposta 1 Via'!$G$10,"",B76+1))</f>
        <v/>
      </c>
      <c r="C77" s="536" t="str">
        <f ca="1">IF(B77=4,"Financiamento",IF(A77=$C$1,"Chaves",IF(A77=$C$2,"Chaves Contrato/Cliente","")))</f>
        <v/>
      </c>
    </row>
    <row r="78" spans="1:3" x14ac:dyDescent="0.2">
      <c r="A78" s="537">
        <v>41214</v>
      </c>
      <c r="B78" s="536" t="str">
        <f ca="1">+IF(DATE(YEAR('Proposta 1 Via'!$G$10),MONTH('Proposta 1 Via'!$G$10),DAY(Meses!$B$1))=Meses!A78,0,IF(Meses!A78&lt;'Proposta 1 Via'!$G$10,"",B77+1))</f>
        <v/>
      </c>
      <c r="C78" s="536" t="str">
        <f ca="1">IF(B78=4,"Financiamento",IF(A78=$C$1,"Chaves",IF(A78=$C$2,"Chaves Contrato/Cliente","")))</f>
        <v/>
      </c>
    </row>
    <row r="79" spans="1:3" x14ac:dyDescent="0.2">
      <c r="A79" s="537">
        <v>41244</v>
      </c>
    </row>
    <row r="80" spans="1:3" x14ac:dyDescent="0.2">
      <c r="A80" s="537">
        <v>41275</v>
      </c>
    </row>
    <row r="81" spans="1:1" x14ac:dyDescent="0.2">
      <c r="A81" s="537">
        <v>41306</v>
      </c>
    </row>
    <row r="82" spans="1:1" x14ac:dyDescent="0.2">
      <c r="A82" s="537">
        <v>41334</v>
      </c>
    </row>
    <row r="83" spans="1:1" x14ac:dyDescent="0.2">
      <c r="A83" s="537">
        <v>41365</v>
      </c>
    </row>
    <row r="84" spans="1:1" x14ac:dyDescent="0.2">
      <c r="A84" s="537">
        <v>41395</v>
      </c>
    </row>
    <row r="85" spans="1:1" x14ac:dyDescent="0.2">
      <c r="A85" s="537">
        <v>41426</v>
      </c>
    </row>
    <row r="86" spans="1:1" x14ac:dyDescent="0.2">
      <c r="A86" s="537">
        <v>41456</v>
      </c>
    </row>
    <row r="87" spans="1:1" x14ac:dyDescent="0.2">
      <c r="A87" s="537">
        <v>41487</v>
      </c>
    </row>
    <row r="88" spans="1:1" x14ac:dyDescent="0.2">
      <c r="A88" s="537">
        <v>41518</v>
      </c>
    </row>
    <row r="89" spans="1:1" x14ac:dyDescent="0.2">
      <c r="A89" s="537">
        <v>41548</v>
      </c>
    </row>
    <row r="90" spans="1:1" x14ac:dyDescent="0.2">
      <c r="A90" s="537">
        <v>41579</v>
      </c>
    </row>
    <row r="91" spans="1:1" x14ac:dyDescent="0.2">
      <c r="A91" s="537">
        <v>41609</v>
      </c>
    </row>
    <row r="92" spans="1:1" x14ac:dyDescent="0.2">
      <c r="A92" s="537">
        <v>41640</v>
      </c>
    </row>
    <row r="93" spans="1:1" x14ac:dyDescent="0.2">
      <c r="A93" s="537">
        <v>41671</v>
      </c>
    </row>
    <row r="94" spans="1:1" x14ac:dyDescent="0.2">
      <c r="A94" s="537">
        <v>41699</v>
      </c>
    </row>
    <row r="95" spans="1:1" x14ac:dyDescent="0.2">
      <c r="A95" s="537">
        <v>41730</v>
      </c>
    </row>
    <row r="96" spans="1:1" x14ac:dyDescent="0.2">
      <c r="A96" s="537">
        <v>41760</v>
      </c>
    </row>
    <row r="97" spans="1:3" x14ac:dyDescent="0.2">
      <c r="A97" s="537">
        <v>41791</v>
      </c>
    </row>
    <row r="98" spans="1:3" x14ac:dyDescent="0.2">
      <c r="A98" s="537">
        <v>41821</v>
      </c>
    </row>
    <row r="99" spans="1:3" x14ac:dyDescent="0.2">
      <c r="A99" s="537">
        <v>41852</v>
      </c>
    </row>
    <row r="100" spans="1:3" x14ac:dyDescent="0.2">
      <c r="A100" s="537">
        <v>41883</v>
      </c>
    </row>
    <row r="101" spans="1:3" x14ac:dyDescent="0.2">
      <c r="A101" s="537">
        <v>41913</v>
      </c>
    </row>
    <row r="102" spans="1:3" x14ac:dyDescent="0.2">
      <c r="A102" s="537">
        <v>41944</v>
      </c>
    </row>
    <row r="103" spans="1:3" x14ac:dyDescent="0.2">
      <c r="A103" s="553">
        <v>41974</v>
      </c>
    </row>
    <row r="104" spans="1:3" x14ac:dyDescent="0.2">
      <c r="A104" s="537">
        <v>42005</v>
      </c>
    </row>
    <row r="105" spans="1:3" x14ac:dyDescent="0.2">
      <c r="A105" s="537">
        <v>42036</v>
      </c>
    </row>
    <row r="106" spans="1:3" x14ac:dyDescent="0.2">
      <c r="A106" s="537">
        <v>42064</v>
      </c>
    </row>
    <row r="107" spans="1:3" x14ac:dyDescent="0.2">
      <c r="A107" s="537">
        <v>42095</v>
      </c>
      <c r="B107" s="536" t="str">
        <f ca="1">+IF(DATE(YEAR('Proposta 1 Via'!$G$10),MONTH('Proposta 1 Via'!$G$10),DAY(Meses!$B$1))=Meses!A107,0,IF(Meses!A107&lt;'Proposta 1 Via'!$G$10,"",B106+1))</f>
        <v/>
      </c>
    </row>
    <row r="108" spans="1:3" x14ac:dyDescent="0.2">
      <c r="A108" s="553">
        <v>42125</v>
      </c>
      <c r="B108" s="536">
        <v>0</v>
      </c>
      <c r="C108" s="416" t="s">
        <v>294</v>
      </c>
    </row>
    <row r="109" spans="1:3" x14ac:dyDescent="0.2">
      <c r="A109" s="537">
        <v>42156</v>
      </c>
      <c r="B109" s="536" t="str">
        <f ca="1">+IF(DATE(YEAR('Proposta 1 Via'!$G$10),MONTH('Proposta 1 Via'!$G$10),DAY(Meses!$B$1))=Meses!A109,0,IF(Meses!A109&lt;'Proposta 1 Via'!$G$10,"",B108+1))</f>
        <v/>
      </c>
      <c r="C109" s="536" t="str">
        <f ca="1">IF(B109=4,"Financiamento",IF(A109=$C$1,"Chaves",IF(A109=$C$2,"Chaves Contrato/Cliente","")))</f>
        <v/>
      </c>
    </row>
    <row r="110" spans="1:3" x14ac:dyDescent="0.2">
      <c r="A110" s="537">
        <v>42186</v>
      </c>
      <c r="B110" s="536" t="str">
        <f ca="1">+IF(DATE(YEAR('Proposta 1 Via'!$G$10),MONTH('Proposta 1 Via'!$G$10),DAY(Meses!$B$1))=Meses!A110,0,IF(Meses!A110&lt;'Proposta 1 Via'!$G$10,"",B109+1))</f>
        <v/>
      </c>
      <c r="C110" s="536" t="str">
        <f ca="1">IF(B110=4,"Financiamento",IF(A110=$C$1,"Chaves",IF(A110=$C$2,"Chaves Contrato/Cliente","")))</f>
        <v/>
      </c>
    </row>
    <row r="111" spans="1:3" x14ac:dyDescent="0.2">
      <c r="A111" s="537">
        <v>42217</v>
      </c>
      <c r="B111" s="536">
        <v>0</v>
      </c>
      <c r="C111" s="536" t="str">
        <f>IF(B111=4,"Financiamento",IF(A111=$C$1,"Chaves",IF(A111=$C$2,"Chaves Contrato/Cliente","")))</f>
        <v/>
      </c>
    </row>
    <row r="112" spans="1:3" x14ac:dyDescent="0.2">
      <c r="A112" s="537">
        <v>42248</v>
      </c>
      <c r="B112" s="536">
        <v>0</v>
      </c>
    </row>
    <row r="113" spans="1:3" x14ac:dyDescent="0.2">
      <c r="A113" s="537">
        <v>42278</v>
      </c>
      <c r="B113" s="536" t="str">
        <f ca="1">+IF(DATE(YEAR('Proposta 1 Via'!$G$10),MONTH('Proposta 1 Via'!$G$10),DAY(Meses!$B$1))=Meses!A113,0,IF(Meses!A113&lt;'Proposta 1 Via'!$G$10,"",B112+1))</f>
        <v/>
      </c>
      <c r="C113" s="536" t="str">
        <f ca="1">IF(B113=4,"Financiamento",IF(A113=$C$1,"Chaves",IF(A113=$C$2,"Chaves Contrato/Cliente","")))</f>
        <v/>
      </c>
    </row>
    <row r="114" spans="1:3" x14ac:dyDescent="0.2">
      <c r="A114" s="537">
        <v>42309</v>
      </c>
      <c r="B114" s="536" t="str">
        <f ca="1">+IF(DATE(YEAR('Proposta 1 Via'!$G$10),MONTH('Proposta 1 Via'!$G$10),DAY(Meses!$B$1))=Meses!A114,0,IF(Meses!A114&lt;'Proposta 1 Via'!$G$10,"",B113+1))</f>
        <v/>
      </c>
      <c r="C114" s="536" t="str">
        <f ca="1">IF(B114=4,"Financiamento",IF(A114=$C$1,"Chaves",IF(A114=$C$2,"Chaves Contrato/Cliente","")))</f>
        <v/>
      </c>
    </row>
    <row r="115" spans="1:3" x14ac:dyDescent="0.2">
      <c r="A115" s="537">
        <v>42339</v>
      </c>
      <c r="B115" s="536">
        <v>0</v>
      </c>
      <c r="C115" s="536" t="str">
        <f>IF(B115=4,"Financiamento",IF(A115=$C$1,"Chaves",IF(A115=$C$2,"Chaves Contrato/Cliente","")))</f>
        <v/>
      </c>
    </row>
    <row r="116" spans="1:3" x14ac:dyDescent="0.2">
      <c r="A116" s="537">
        <v>42370</v>
      </c>
      <c r="B116" s="536">
        <v>0</v>
      </c>
      <c r="C116" s="594"/>
    </row>
    <row r="117" spans="1:3" x14ac:dyDescent="0.2">
      <c r="A117" s="537">
        <v>42401</v>
      </c>
      <c r="B117" s="536" t="str">
        <f ca="1">+IF(DATE(YEAR('Proposta 1 Via'!$G$10),MONTH('Proposta 1 Via'!$G$10),DAY(Meses!$B$1))=Meses!A117,0,IF(Meses!A117&lt;'Proposta 1 Via'!$G$10,"",B116+1))</f>
        <v/>
      </c>
    </row>
    <row r="118" spans="1:3" x14ac:dyDescent="0.2">
      <c r="A118" s="537">
        <v>42430</v>
      </c>
      <c r="B118" s="536" t="str">
        <f ca="1">+IF(DATE(YEAR('Proposta 1 Via'!$G$10),MONTH('Proposta 1 Via'!$G$10),DAY(Meses!$B$1))=Meses!A118,0,IF(Meses!A118&lt;'Proposta 1 Via'!$G$10,"",B117+1))</f>
        <v/>
      </c>
    </row>
    <row r="119" spans="1:3" x14ac:dyDescent="0.2">
      <c r="A119" s="537">
        <v>42461</v>
      </c>
      <c r="B119" s="536">
        <v>0</v>
      </c>
    </row>
    <row r="120" spans="1:3" x14ac:dyDescent="0.2">
      <c r="A120" s="537">
        <v>42491</v>
      </c>
      <c r="B120" s="536">
        <v>0</v>
      </c>
    </row>
    <row r="121" spans="1:3" x14ac:dyDescent="0.2">
      <c r="A121" s="537">
        <v>42522</v>
      </c>
      <c r="B121" s="536">
        <v>0</v>
      </c>
    </row>
    <row r="122" spans="1:3" x14ac:dyDescent="0.2">
      <c r="A122" s="537">
        <v>42552</v>
      </c>
      <c r="B122" s="536">
        <v>0</v>
      </c>
    </row>
    <row r="123" spans="1:3" x14ac:dyDescent="0.2">
      <c r="A123" s="537">
        <v>42583</v>
      </c>
      <c r="B123" s="536">
        <v>0</v>
      </c>
    </row>
    <row r="124" spans="1:3" x14ac:dyDescent="0.2">
      <c r="A124" s="537">
        <v>42614</v>
      </c>
      <c r="B124" s="536">
        <v>0</v>
      </c>
    </row>
    <row r="125" spans="1:3" x14ac:dyDescent="0.2">
      <c r="A125" s="537">
        <v>42644</v>
      </c>
      <c r="B125" s="536">
        <v>0</v>
      </c>
    </row>
    <row r="126" spans="1:3" x14ac:dyDescent="0.2">
      <c r="A126" s="537">
        <v>42675</v>
      </c>
      <c r="B126" s="536" t="str">
        <f ca="1">+IF(DATE(YEAR('Proposta 1 Via'!$G$10),MONTH('Proposta 1 Via'!$G$10),DAY(Meses!$B$1))=Meses!A126,0,IF(Meses!A126&lt;'Proposta 1 Via'!$G$10,"",B125+1))</f>
        <v/>
      </c>
    </row>
    <row r="127" spans="1:3" x14ac:dyDescent="0.2">
      <c r="A127" s="537">
        <v>42705</v>
      </c>
      <c r="B127" s="536">
        <v>0</v>
      </c>
    </row>
    <row r="128" spans="1:3" x14ac:dyDescent="0.2">
      <c r="A128" s="537">
        <v>42736</v>
      </c>
      <c r="B128" s="536">
        <v>0</v>
      </c>
      <c r="C128" s="594"/>
    </row>
    <row r="129" spans="1:3" x14ac:dyDescent="0.2">
      <c r="A129" s="537">
        <v>42767</v>
      </c>
      <c r="B129" s="536">
        <v>0</v>
      </c>
    </row>
    <row r="130" spans="1:3" x14ac:dyDescent="0.2">
      <c r="A130" s="537">
        <v>42795</v>
      </c>
      <c r="B130" s="536" t="str">
        <f ca="1">+IF(DATE(YEAR('Proposta 1 Via'!$G$10),MONTH('Proposta 1 Via'!$G$10),DAY(Meses!$B$1))=Meses!A130,0,IF(Meses!A130&lt;'Proposta 1 Via'!$G$10,"",B129+1))</f>
        <v/>
      </c>
    </row>
    <row r="131" spans="1:3" x14ac:dyDescent="0.2">
      <c r="A131" s="537">
        <v>42826</v>
      </c>
      <c r="B131" s="536" t="str">
        <f ca="1">+IF(DATE(YEAR('Proposta 1 Via'!$G$10),MONTH('Proposta 1 Via'!$G$10),DAY(Meses!$B$1))=Meses!A131,0,IF(Meses!A131&lt;'Proposta 1 Via'!$G$10,"",B130+1))</f>
        <v/>
      </c>
    </row>
    <row r="132" spans="1:3" x14ac:dyDescent="0.2">
      <c r="A132" s="537">
        <v>42856</v>
      </c>
      <c r="B132" s="536" t="str">
        <f ca="1">+IF(DATE(YEAR('Proposta 1 Via'!$G$10),MONTH('Proposta 1 Via'!$G$10),DAY(Meses!$B$1))=Meses!A132,0,IF(Meses!A132&lt;'Proposta 1 Via'!$G$10,"",B131+1))</f>
        <v/>
      </c>
      <c r="C132" s="594"/>
    </row>
    <row r="133" spans="1:3" x14ac:dyDescent="0.2">
      <c r="A133" s="537">
        <v>42887</v>
      </c>
      <c r="B133" s="536" t="str">
        <f ca="1">+IF(DATE(YEAR('Proposta 1 Via'!$G$10),MONTH('Proposta 1 Via'!$G$10),DAY(Meses!$B$1))=Meses!A133,0,IF(Meses!A133&lt;'Proposta 1 Via'!$G$10,"",B132+1))</f>
        <v/>
      </c>
    </row>
    <row r="134" spans="1:3" x14ac:dyDescent="0.2">
      <c r="A134" s="537">
        <v>42917</v>
      </c>
      <c r="B134" s="536" t="str">
        <f ca="1">+IF(DATE(YEAR('Proposta 1 Via'!$G$10),MONTH('Proposta 1 Via'!$G$10),DAY(Meses!$B$1))=Meses!A134,0,IF(Meses!A134&lt;'Proposta 1 Via'!$G$10,"",B133+1))</f>
        <v/>
      </c>
    </row>
    <row r="135" spans="1:3" x14ac:dyDescent="0.2">
      <c r="A135" s="537">
        <v>42948</v>
      </c>
      <c r="B135" s="536" t="str">
        <f ca="1">+IF(DATE(YEAR('Proposta 1 Via'!$G$10),MONTH('Proposta 1 Via'!$G$10),DAY(Meses!$B$1))=Meses!A135,0,IF(Meses!A135&lt;'Proposta 1 Via'!$G$10,"",B134+1))</f>
        <v/>
      </c>
    </row>
    <row r="136" spans="1:3" x14ac:dyDescent="0.2">
      <c r="A136" s="537">
        <v>42979</v>
      </c>
      <c r="B136" s="536" t="str">
        <f ca="1">+IF(DATE(YEAR('Proposta 1 Via'!$G$10),MONTH('Proposta 1 Via'!$G$10),DAY(Meses!$B$1))=Meses!A136,0,IF(Meses!A136&lt;'Proposta 1 Via'!$G$10,"",B135+1))</f>
        <v/>
      </c>
    </row>
    <row r="137" spans="1:3" x14ac:dyDescent="0.2">
      <c r="A137" s="537">
        <v>43009</v>
      </c>
      <c r="B137" s="536" t="str">
        <f ca="1">+IF(DATE(YEAR('Proposta 1 Via'!$G$10),MONTH('Proposta 1 Via'!$G$10),DAY(Meses!$B$1))=Meses!A137,0,IF(Meses!A137&lt;'Proposta 1 Via'!$G$10,"",B136+1))</f>
        <v/>
      </c>
    </row>
    <row r="138" spans="1:3" x14ac:dyDescent="0.2">
      <c r="A138" s="537">
        <v>43040</v>
      </c>
      <c r="B138" s="536" t="str">
        <f ca="1">+IF(DATE(YEAR('Proposta 1 Via'!$G$10),MONTH('Proposta 1 Via'!$G$10),DAY(Meses!$B$1))=Meses!A138,0,IF(Meses!A138&lt;'Proposta 1 Via'!$G$10,"",B137+1))</f>
        <v/>
      </c>
    </row>
    <row r="139" spans="1:3" x14ac:dyDescent="0.2">
      <c r="A139" s="537">
        <v>43070</v>
      </c>
      <c r="B139" s="536" t="str">
        <f ca="1">+IF(DATE(YEAR('Proposta 1 Via'!$G$10),MONTH('Proposta 1 Via'!$G$10),DAY(Meses!$B$1))=Meses!A139,0,IF(Meses!A139&lt;'Proposta 1 Via'!$G$10,"",B138+1))</f>
        <v/>
      </c>
      <c r="C139" s="594" t="s">
        <v>41</v>
      </c>
    </row>
    <row r="140" spans="1:3" x14ac:dyDescent="0.2">
      <c r="A140" s="537">
        <v>43101</v>
      </c>
      <c r="B140" s="536" t="str">
        <f ca="1">+IF(DATE(YEAR('Proposta 1 Via'!$G$10),MONTH('Proposta 1 Via'!$G$10),DAY(Meses!$B$1))=Meses!A140,0,IF(Meses!A140&lt;'Proposta 1 Via'!$G$10,"",B139+1))</f>
        <v/>
      </c>
      <c r="C140" s="594"/>
    </row>
    <row r="141" spans="1:3" x14ac:dyDescent="0.2">
      <c r="A141" s="537">
        <v>43132</v>
      </c>
      <c r="B141" s="536" t="str">
        <f ca="1">+IF(DATE(YEAR('Proposta 1 Via'!$G$10),MONTH('Proposta 1 Via'!$G$10),DAY(Meses!$B$1))=Meses!A141,0,IF(Meses!A141&lt;'Proposta 1 Via'!$G$10,"",B140+1))</f>
        <v/>
      </c>
    </row>
    <row r="142" spans="1:3" x14ac:dyDescent="0.2">
      <c r="A142" s="537">
        <v>43160</v>
      </c>
      <c r="B142" s="536" t="str">
        <f ca="1">+IF(DATE(YEAR('Proposta 1 Via'!$G$10),MONTH('Proposta 1 Via'!$G$10),DAY(Meses!$B$1))=Meses!A142,0,IF(Meses!A142&lt;'Proposta 1 Via'!$G$10,"",B141+1))</f>
        <v/>
      </c>
    </row>
    <row r="143" spans="1:3" x14ac:dyDescent="0.2">
      <c r="A143" s="537">
        <v>43191</v>
      </c>
      <c r="B143" s="536" t="str">
        <f ca="1">+IF(DATE(YEAR('Proposta 1 Via'!$G$10),MONTH('Proposta 1 Via'!$G$10),DAY(Meses!$B$1))=Meses!A143,0,IF(Meses!A143&lt;'Proposta 1 Via'!$G$10,"",B142+1))</f>
        <v/>
      </c>
    </row>
    <row r="144" spans="1:3" x14ac:dyDescent="0.2">
      <c r="A144" s="537">
        <v>43221</v>
      </c>
      <c r="B144" s="536" t="str">
        <f ca="1">+IF(DATE(YEAR('Proposta 1 Via'!$G$10),MONTH('Proposta 1 Via'!$G$10),DAY(Meses!$B$1))=Meses!A144,0,IF(Meses!A144&lt;'Proposta 1 Via'!$G$10,"",B143+1))</f>
        <v/>
      </c>
    </row>
    <row r="145" spans="1:2" x14ac:dyDescent="0.2">
      <c r="A145" s="537">
        <v>43252</v>
      </c>
      <c r="B145" s="536" t="str">
        <f ca="1">+IF(DATE(YEAR('Proposta 1 Via'!$G$10),MONTH('Proposta 1 Via'!$G$10),DAY(Meses!$B$1))=Meses!A145,0,IF(Meses!A145&lt;'Proposta 1 Via'!$G$10,"",B144+1))</f>
        <v/>
      </c>
    </row>
    <row r="146" spans="1:2" x14ac:dyDescent="0.2">
      <c r="A146" s="537">
        <v>43282</v>
      </c>
      <c r="B146" s="536" t="str">
        <f ca="1">+IF(DATE(YEAR('Proposta 1 Via'!$G$10),MONTH('Proposta 1 Via'!$G$10),DAY(Meses!$B$1))=Meses!A146,0,IF(Meses!A146&lt;'Proposta 1 Via'!$G$10,"",B145+1))</f>
        <v/>
      </c>
    </row>
    <row r="147" spans="1:2" x14ac:dyDescent="0.2">
      <c r="A147" s="537">
        <v>43313</v>
      </c>
      <c r="B147" s="536" t="str">
        <f ca="1">+IF(DATE(YEAR('Proposta 1 Via'!$G$10),MONTH('Proposta 1 Via'!$G$10),DAY(Meses!$B$1))=Meses!A147,0,IF(Meses!A147&lt;'Proposta 1 Via'!$G$10,"",B146+1))</f>
        <v/>
      </c>
    </row>
    <row r="148" spans="1:2" x14ac:dyDescent="0.2">
      <c r="A148" s="537">
        <v>43344</v>
      </c>
      <c r="B148" s="536" t="str">
        <f ca="1">+IF(DATE(YEAR('Proposta 1 Via'!$G$10),MONTH('Proposta 1 Via'!$G$10),DAY(Meses!$B$1))=Meses!A148,0,IF(Meses!A148&lt;'Proposta 1 Via'!$G$10,"",B147+1))</f>
        <v/>
      </c>
    </row>
    <row r="149" spans="1:2" x14ac:dyDescent="0.2">
      <c r="A149" s="537">
        <v>43374</v>
      </c>
      <c r="B149" s="536" t="str">
        <f ca="1">+IF(DATE(YEAR('Proposta 1 Via'!$G$10),MONTH('Proposta 1 Via'!$G$10),DAY(Meses!$B$1))=Meses!A149,0,IF(Meses!A149&lt;'Proposta 1 Via'!$G$10,"",B148+1))</f>
        <v/>
      </c>
    </row>
    <row r="150" spans="1:2" x14ac:dyDescent="0.2">
      <c r="A150" s="537">
        <v>43405</v>
      </c>
      <c r="B150" s="536" t="str">
        <f ca="1">+IF(DATE(YEAR('Proposta 1 Via'!$G$10),MONTH('Proposta 1 Via'!$G$10),DAY(Meses!$B$1))=Meses!A150,0,IF(Meses!A150&lt;'Proposta 1 Via'!$G$10,"",B149+1))</f>
        <v/>
      </c>
    </row>
    <row r="151" spans="1:2" x14ac:dyDescent="0.2">
      <c r="A151" s="537">
        <v>43435</v>
      </c>
      <c r="B151" s="536" t="str">
        <f ca="1">+IF(DATE(YEAR('Proposta 1 Via'!$G$10),MONTH('Proposta 1 Via'!$G$10),DAY(Meses!$B$1))=Meses!A151,0,IF(Meses!A151&lt;'Proposta 1 Via'!$G$10,"",B150+1))</f>
        <v/>
      </c>
    </row>
    <row r="152" spans="1:2" x14ac:dyDescent="0.2">
      <c r="A152" s="537">
        <v>43466</v>
      </c>
      <c r="B152" s="536" t="str">
        <f ca="1">+IF(DATE(YEAR('Proposta 1 Via'!$G$10),MONTH('Proposta 1 Via'!$G$10),DAY(Meses!$B$1))=Meses!A152,0,IF(Meses!A152&lt;'Proposta 1 Via'!$G$10,"",B151+1))</f>
        <v/>
      </c>
    </row>
    <row r="153" spans="1:2" x14ac:dyDescent="0.2">
      <c r="A153" s="537">
        <v>43497</v>
      </c>
      <c r="B153" s="536" t="str">
        <f ca="1">+IF(DATE(YEAR('Proposta 1 Via'!$G$10),MONTH('Proposta 1 Via'!$G$10),DAY(Meses!$B$1))=Meses!A153,0,IF(Meses!A153&lt;'Proposta 1 Via'!$G$10,"",B152+1))</f>
        <v/>
      </c>
    </row>
    <row r="154" spans="1:2" x14ac:dyDescent="0.2">
      <c r="A154" s="537">
        <v>43525</v>
      </c>
      <c r="B154" s="536" t="str">
        <f ca="1">+IF(DATE(YEAR('Proposta 1 Via'!$G$10),MONTH('Proposta 1 Via'!$G$10),DAY(Meses!$B$1))=Meses!A154,0,IF(Meses!A154&lt;'Proposta 1 Via'!$G$10,"",B153+1))</f>
        <v/>
      </c>
    </row>
    <row r="155" spans="1:2" x14ac:dyDescent="0.2">
      <c r="A155" s="537">
        <v>43556</v>
      </c>
      <c r="B155" s="536" t="str">
        <f ca="1">+IF(DATE(YEAR('Proposta 1 Via'!$G$10),MONTH('Proposta 1 Via'!$G$10),DAY(Meses!$B$1))=Meses!A155,0,IF(Meses!A155&lt;'Proposta 1 Via'!$G$10,"",B154+1))</f>
        <v/>
      </c>
    </row>
    <row r="156" spans="1:2" x14ac:dyDescent="0.2">
      <c r="A156" s="537">
        <v>43586</v>
      </c>
      <c r="B156" s="536" t="str">
        <f ca="1">+IF(DATE(YEAR('Proposta 1 Via'!$G$10),MONTH('Proposta 1 Via'!$G$10),DAY(Meses!$B$1))=Meses!A156,0,IF(Meses!A156&lt;'Proposta 1 Via'!$G$10,"",B155+1))</f>
        <v/>
      </c>
    </row>
    <row r="157" spans="1:2" x14ac:dyDescent="0.2">
      <c r="A157" s="537">
        <v>43617</v>
      </c>
      <c r="B157" s="536" t="str">
        <f ca="1">+IF(DATE(YEAR('Proposta 1 Via'!$G$10),MONTH('Proposta 1 Via'!$G$10),DAY(Meses!$B$1))=Meses!A157,0,IF(Meses!A157&lt;'Proposta 1 Via'!$G$10,"",B156+1))</f>
        <v/>
      </c>
    </row>
    <row r="158" spans="1:2" x14ac:dyDescent="0.2">
      <c r="A158" s="537">
        <v>43647</v>
      </c>
      <c r="B158" s="536" t="str">
        <f ca="1">+IF(DATE(YEAR('Proposta 1 Via'!$G$10),MONTH('Proposta 1 Via'!$G$10),DAY(Meses!$B$1))=Meses!A158,0,IF(Meses!A158&lt;'Proposta 1 Via'!$G$10,"",B157+1))</f>
        <v/>
      </c>
    </row>
    <row r="159" spans="1:2" x14ac:dyDescent="0.2">
      <c r="A159" s="537">
        <v>43678</v>
      </c>
      <c r="B159" s="536" t="str">
        <f ca="1">+IF(DATE(YEAR('Proposta 1 Via'!$G$10),MONTH('Proposta 1 Via'!$G$10),DAY(Meses!$B$1))=Meses!A159,0,IF(Meses!A159&lt;'Proposta 1 Via'!$G$10,"",B158+1))</f>
        <v/>
      </c>
    </row>
    <row r="160" spans="1:2" x14ac:dyDescent="0.2">
      <c r="A160" s="537">
        <v>43709</v>
      </c>
      <c r="B160" s="536" t="str">
        <f ca="1">+IF(DATE(YEAR('Proposta 1 Via'!$G$10),MONTH('Proposta 1 Via'!$G$10),DAY(Meses!$B$1))=Meses!A160,0,IF(Meses!A160&lt;'Proposta 1 Via'!$G$10,"",B159+1))</f>
        <v/>
      </c>
    </row>
    <row r="161" spans="1:2" x14ac:dyDescent="0.2">
      <c r="A161" s="537">
        <v>43739</v>
      </c>
      <c r="B161" s="536" t="str">
        <f ca="1">+IF(DATE(YEAR('Proposta 1 Via'!$G$10),MONTH('Proposta 1 Via'!$G$10),DAY(Meses!$B$1))=Meses!A161,0,IF(Meses!A161&lt;'Proposta 1 Via'!$G$10,"",B160+1))</f>
        <v/>
      </c>
    </row>
    <row r="162" spans="1:2" x14ac:dyDescent="0.2">
      <c r="A162" s="537">
        <v>43770</v>
      </c>
      <c r="B162" s="536" t="str">
        <f ca="1">+IF(DATE(YEAR('Proposta 1 Via'!$G$10),MONTH('Proposta 1 Via'!$G$10),DAY(Meses!$B$1))=Meses!A162,0,IF(Meses!A162&lt;'Proposta 1 Via'!$G$10,"",B161+1))</f>
        <v/>
      </c>
    </row>
    <row r="163" spans="1:2" x14ac:dyDescent="0.2">
      <c r="A163" s="537">
        <v>43800</v>
      </c>
      <c r="B163" s="536">
        <f ca="1">+IF(DATE(YEAR('Proposta 1 Via'!$G$10),MONTH('Proposta 1 Via'!$G$10),DAY(Meses!$B$1))=Meses!A163,0,IF(Meses!A163&lt;'Proposta 1 Via'!$G$10,"",B162+1))</f>
        <v>0</v>
      </c>
    </row>
    <row r="164" spans="1:2" x14ac:dyDescent="0.2">
      <c r="A164" s="537">
        <v>43831</v>
      </c>
      <c r="B164" s="536">
        <f ca="1">+IF(DATE(YEAR('Proposta 1 Via'!$G$10),MONTH('Proposta 1 Via'!$G$10),DAY(Meses!$B$1))=Meses!A164,0,IF(Meses!A164&lt;'Proposta 1 Via'!$G$10,"",B163+1))</f>
        <v>1</v>
      </c>
    </row>
    <row r="165" spans="1:2" x14ac:dyDescent="0.2">
      <c r="A165" s="537">
        <v>43862</v>
      </c>
      <c r="B165" s="536">
        <f ca="1">+IF(DATE(YEAR('Proposta 1 Via'!$G$10),MONTH('Proposta 1 Via'!$G$10),DAY(Meses!$B$1))=Meses!A165,0,IF(Meses!A165&lt;'Proposta 1 Via'!$G$10,"",B164+1))</f>
        <v>2</v>
      </c>
    </row>
    <row r="166" spans="1:2" x14ac:dyDescent="0.2">
      <c r="A166" s="537">
        <v>43891</v>
      </c>
      <c r="B166" s="536">
        <f ca="1">+IF(DATE(YEAR('Proposta 1 Via'!$G$10),MONTH('Proposta 1 Via'!$G$10),DAY(Meses!$B$1))=Meses!A166,0,IF(Meses!A166&lt;'Proposta 1 Via'!$G$10,"",B165+1))</f>
        <v>3</v>
      </c>
    </row>
    <row r="167" spans="1:2" x14ac:dyDescent="0.2">
      <c r="A167" s="537">
        <v>43922</v>
      </c>
      <c r="B167" s="536">
        <f ca="1">+IF(DATE(YEAR('Proposta 1 Via'!$G$10),MONTH('Proposta 1 Via'!$G$10),DAY(Meses!$B$1))=Meses!A167,0,IF(Meses!A167&lt;'Proposta 1 Via'!$G$10,"",B166+1))</f>
        <v>4</v>
      </c>
    </row>
    <row r="168" spans="1:2" x14ac:dyDescent="0.2">
      <c r="A168" s="537">
        <v>43952</v>
      </c>
      <c r="B168" s="536">
        <f ca="1">+IF(DATE(YEAR('Proposta 1 Via'!$G$10),MONTH('Proposta 1 Via'!$G$10),DAY(Meses!$B$1))=Meses!A168,0,IF(Meses!A168&lt;'Proposta 1 Via'!$G$10,"",B167+1))</f>
        <v>5</v>
      </c>
    </row>
    <row r="169" spans="1:2" x14ac:dyDescent="0.2">
      <c r="A169" s="537">
        <v>43983</v>
      </c>
      <c r="B169" s="536">
        <f ca="1">+IF(DATE(YEAR('Proposta 1 Via'!$G$10),MONTH('Proposta 1 Via'!$G$10),DAY(Meses!$B$1))=Meses!A169,0,IF(Meses!A169&lt;'Proposta 1 Via'!$G$10,"",B168+1))</f>
        <v>6</v>
      </c>
    </row>
    <row r="170" spans="1:2" x14ac:dyDescent="0.2">
      <c r="A170" s="537">
        <v>44013</v>
      </c>
      <c r="B170" s="536">
        <f ca="1">+IF(DATE(YEAR('Proposta 1 Via'!$G$10),MONTH('Proposta 1 Via'!$G$10),DAY(Meses!$B$1))=Meses!A170,0,IF(Meses!A170&lt;'Proposta 1 Via'!$G$10,"",B169+1))</f>
        <v>7</v>
      </c>
    </row>
    <row r="171" spans="1:2" x14ac:dyDescent="0.2">
      <c r="A171" s="537">
        <v>44044</v>
      </c>
      <c r="B171" s="536">
        <f ca="1">+IF(DATE(YEAR('Proposta 1 Via'!$G$10),MONTH('Proposta 1 Via'!$G$10),DAY(Meses!$B$1))=Meses!A171,0,IF(Meses!A171&lt;'Proposta 1 Via'!$G$10,"",B170+1))</f>
        <v>8</v>
      </c>
    </row>
    <row r="172" spans="1:2" x14ac:dyDescent="0.2">
      <c r="A172" s="537">
        <v>44075</v>
      </c>
      <c r="B172" s="536">
        <f ca="1">+IF(DATE(YEAR('Proposta 1 Via'!$G$10),MONTH('Proposta 1 Via'!$G$10),DAY(Meses!$B$1))=Meses!A172,0,IF(Meses!A172&lt;'Proposta 1 Via'!$G$10,"",B171+1))</f>
        <v>9</v>
      </c>
    </row>
    <row r="173" spans="1:2" x14ac:dyDescent="0.2">
      <c r="A173" s="537">
        <v>44105</v>
      </c>
      <c r="B173" s="536">
        <f ca="1">+IF(DATE(YEAR('Proposta 1 Via'!$G$10),MONTH('Proposta 1 Via'!$G$10),DAY(Meses!$B$1))=Meses!A173,0,IF(Meses!A173&lt;'Proposta 1 Via'!$G$10,"",B172+1))</f>
        <v>10</v>
      </c>
    </row>
    <row r="174" spans="1:2" x14ac:dyDescent="0.2">
      <c r="A174" s="537">
        <v>44136</v>
      </c>
      <c r="B174" s="536">
        <f ca="1">+IF(DATE(YEAR('Proposta 1 Via'!$G$10),MONTH('Proposta 1 Via'!$G$10),DAY(Meses!$B$1))=Meses!A174,0,IF(Meses!A174&lt;'Proposta 1 Via'!$G$10,"",B173+1))</f>
        <v>11</v>
      </c>
    </row>
    <row r="175" spans="1:2" x14ac:dyDescent="0.2">
      <c r="A175" s="537">
        <v>44166</v>
      </c>
      <c r="B175" s="536">
        <f ca="1">+IF(DATE(YEAR('Proposta 1 Via'!$G$10),MONTH('Proposta 1 Via'!$G$10),DAY(Meses!$B$1))=Meses!A175,0,IF(Meses!A175&lt;'Proposta 1 Via'!$G$10,"",B174+1))</f>
        <v>12</v>
      </c>
    </row>
    <row r="176" spans="1:2" x14ac:dyDescent="0.2">
      <c r="A176" s="537">
        <v>44197</v>
      </c>
      <c r="B176" s="536">
        <f ca="1">+IF(DATE(YEAR('Proposta 1 Via'!$G$10),MONTH('Proposta 1 Via'!$G$10),DAY(Meses!$B$1))=Meses!A176,0,IF(Meses!A176&lt;'Proposta 1 Via'!$G$10,"",B175+1))</f>
        <v>13</v>
      </c>
    </row>
    <row r="177" spans="1:2" x14ac:dyDescent="0.2">
      <c r="A177" s="537">
        <v>44228</v>
      </c>
      <c r="B177" s="536">
        <f ca="1">+IF(DATE(YEAR('Proposta 1 Via'!$G$10),MONTH('Proposta 1 Via'!$G$10),DAY(Meses!$B$1))=Meses!A177,0,IF(Meses!A177&lt;'Proposta 1 Via'!$G$10,"",B176+1))</f>
        <v>14</v>
      </c>
    </row>
    <row r="178" spans="1:2" x14ac:dyDescent="0.2">
      <c r="A178" s="537">
        <v>44256</v>
      </c>
      <c r="B178" s="536">
        <f ca="1">+IF(DATE(YEAR('Proposta 1 Via'!$G$10),MONTH('Proposta 1 Via'!$G$10),DAY(Meses!$B$1))=Meses!A178,0,IF(Meses!A178&lt;'Proposta 1 Via'!$G$10,"",B177+1))</f>
        <v>15</v>
      </c>
    </row>
    <row r="179" spans="1:2" x14ac:dyDescent="0.2">
      <c r="A179" s="537">
        <v>44287</v>
      </c>
      <c r="B179" s="536">
        <f ca="1">+IF(DATE(YEAR('Proposta 1 Via'!$G$10),MONTH('Proposta 1 Via'!$G$10),DAY(Meses!$B$1))=Meses!A179,0,IF(Meses!A179&lt;'Proposta 1 Via'!$G$10,"",B178+1))</f>
        <v>16</v>
      </c>
    </row>
    <row r="180" spans="1:2" x14ac:dyDescent="0.2">
      <c r="A180" s="537">
        <v>44317</v>
      </c>
      <c r="B180" s="536">
        <f ca="1">+IF(DATE(YEAR('Proposta 1 Via'!$G$10),MONTH('Proposta 1 Via'!$G$10),DAY(Meses!$B$1))=Meses!A180,0,IF(Meses!A180&lt;'Proposta 1 Via'!$G$10,"",B179+1))</f>
        <v>17</v>
      </c>
    </row>
    <row r="181" spans="1:2" x14ac:dyDescent="0.2">
      <c r="A181" s="537">
        <v>44348</v>
      </c>
      <c r="B181" s="536">
        <f ca="1">+IF(DATE(YEAR('Proposta 1 Via'!$G$10),MONTH('Proposta 1 Via'!$G$10),DAY(Meses!$B$1))=Meses!A181,0,IF(Meses!A181&lt;'Proposta 1 Via'!$G$10,"",B180+1))</f>
        <v>18</v>
      </c>
    </row>
    <row r="182" spans="1:2" x14ac:dyDescent="0.2">
      <c r="A182" s="537">
        <v>44378</v>
      </c>
      <c r="B182" s="536">
        <f ca="1">+IF(DATE(YEAR('Proposta 1 Via'!$G$10),MONTH('Proposta 1 Via'!$G$10),DAY(Meses!$B$1))=Meses!A182,0,IF(Meses!A182&lt;'Proposta 1 Via'!$G$10,"",B181+1))</f>
        <v>19</v>
      </c>
    </row>
    <row r="183" spans="1:2" x14ac:dyDescent="0.2">
      <c r="A183" s="537">
        <v>44409</v>
      </c>
      <c r="B183" s="536">
        <f ca="1">+IF(DATE(YEAR('Proposta 1 Via'!$G$10),MONTH('Proposta 1 Via'!$G$10),DAY(Meses!$B$1))=Meses!A183,0,IF(Meses!A183&lt;'Proposta 1 Via'!$G$10,"",B182+1))</f>
        <v>20</v>
      </c>
    </row>
    <row r="184" spans="1:2" x14ac:dyDescent="0.2">
      <c r="A184" s="537">
        <v>44440</v>
      </c>
      <c r="B184" s="536">
        <f ca="1">+IF(DATE(YEAR('Proposta 1 Via'!$G$10),MONTH('Proposta 1 Via'!$G$10),DAY(Meses!$B$1))=Meses!A184,0,IF(Meses!A184&lt;'Proposta 1 Via'!$G$10,"",B183+1))</f>
        <v>21</v>
      </c>
    </row>
    <row r="185" spans="1:2" x14ac:dyDescent="0.2">
      <c r="A185" s="537">
        <v>44470</v>
      </c>
      <c r="B185" s="536">
        <f ca="1">+IF(DATE(YEAR('Proposta 1 Via'!$G$10),MONTH('Proposta 1 Via'!$G$10),DAY(Meses!$B$1))=Meses!A185,0,IF(Meses!A185&lt;'Proposta 1 Via'!$G$10,"",B184+1))</f>
        <v>22</v>
      </c>
    </row>
    <row r="186" spans="1:2" x14ac:dyDescent="0.2">
      <c r="A186" s="537">
        <v>44501</v>
      </c>
      <c r="B186" s="536">
        <f ca="1">+IF(DATE(YEAR('Proposta 1 Via'!$G$10),MONTH('Proposta 1 Via'!$G$10),DAY(Meses!$B$1))=Meses!A186,0,IF(Meses!A186&lt;'Proposta 1 Via'!$G$10,"",B185+1))</f>
        <v>23</v>
      </c>
    </row>
    <row r="187" spans="1:2" x14ac:dyDescent="0.2">
      <c r="A187" s="537">
        <v>44531</v>
      </c>
      <c r="B187" s="536">
        <f ca="1">+IF(DATE(YEAR('Proposta 1 Via'!$G$10),MONTH('Proposta 1 Via'!$G$10),DAY(Meses!$B$1))=Meses!A187,0,IF(Meses!A187&lt;'Proposta 1 Via'!$G$10,"",B186+1))</f>
        <v>24</v>
      </c>
    </row>
    <row r="188" spans="1:2" x14ac:dyDescent="0.2">
      <c r="A188" s="537">
        <v>44562</v>
      </c>
      <c r="B188" s="536">
        <f ca="1">+IF(DATE(YEAR('Proposta 1 Via'!$G$10),MONTH('Proposta 1 Via'!$G$10),DAY(Meses!$B$1))=Meses!A188,0,IF(Meses!A188&lt;'Proposta 1 Via'!$G$10,"",B187+1))</f>
        <v>25</v>
      </c>
    </row>
    <row r="189" spans="1:2" x14ac:dyDescent="0.2">
      <c r="A189" s="537">
        <v>44593</v>
      </c>
      <c r="B189" s="536">
        <f ca="1">+IF(DATE(YEAR('Proposta 1 Via'!$G$10),MONTH('Proposta 1 Via'!$G$10),DAY(Meses!$B$1))=Meses!A189,0,IF(Meses!A189&lt;'Proposta 1 Via'!$G$10,"",B188+1))</f>
        <v>26</v>
      </c>
    </row>
    <row r="190" spans="1:2" x14ac:dyDescent="0.2">
      <c r="A190" s="537">
        <v>44621</v>
      </c>
      <c r="B190" s="536">
        <f ca="1">+IF(DATE(YEAR('Proposta 1 Via'!$G$10),MONTH('Proposta 1 Via'!$G$10),DAY(Meses!$B$1))=Meses!A190,0,IF(Meses!A190&lt;'Proposta 1 Via'!$G$10,"",B189+1))</f>
        <v>27</v>
      </c>
    </row>
    <row r="191" spans="1:2" x14ac:dyDescent="0.2">
      <c r="A191" s="537">
        <v>44652</v>
      </c>
      <c r="B191" s="536">
        <f ca="1">+IF(DATE(YEAR('Proposta 1 Via'!$G$10),MONTH('Proposta 1 Via'!$G$10),DAY(Meses!$B$1))=Meses!A191,0,IF(Meses!A191&lt;'Proposta 1 Via'!$G$10,"",B190+1))</f>
        <v>28</v>
      </c>
    </row>
    <row r="192" spans="1:2" x14ac:dyDescent="0.2">
      <c r="A192" s="537">
        <v>44682</v>
      </c>
      <c r="B192" s="536">
        <f ca="1">+IF(DATE(YEAR('Proposta 1 Via'!$G$10),MONTH('Proposta 1 Via'!$G$10),DAY(Meses!$B$1))=Meses!A192,0,IF(Meses!A192&lt;'Proposta 1 Via'!$G$10,"",B191+1))</f>
        <v>29</v>
      </c>
    </row>
    <row r="193" spans="1:2" x14ac:dyDescent="0.2">
      <c r="A193" s="537">
        <v>44713</v>
      </c>
      <c r="B193" s="536">
        <f ca="1">+IF(DATE(YEAR('Proposta 1 Via'!$G$10),MONTH('Proposta 1 Via'!$G$10),DAY(Meses!$B$1))=Meses!A193,0,IF(Meses!A193&lt;'Proposta 1 Via'!$G$10,"",B192+1))</f>
        <v>30</v>
      </c>
    </row>
    <row r="194" spans="1:2" x14ac:dyDescent="0.2">
      <c r="A194" s="537">
        <v>44743</v>
      </c>
      <c r="B194" s="536">
        <f ca="1">+IF(DATE(YEAR('Proposta 1 Via'!$G$10),MONTH('Proposta 1 Via'!$G$10),DAY(Meses!$B$1))=Meses!A194,0,IF(Meses!A194&lt;'Proposta 1 Via'!$G$10,"",B193+1))</f>
        <v>31</v>
      </c>
    </row>
    <row r="195" spans="1:2" x14ac:dyDescent="0.2">
      <c r="A195" s="537">
        <v>44774</v>
      </c>
      <c r="B195" s="536">
        <f ca="1">+IF(DATE(YEAR('Proposta 1 Via'!$G$10),MONTH('Proposta 1 Via'!$G$10),DAY(Meses!$B$1))=Meses!A195,0,IF(Meses!A195&lt;'Proposta 1 Via'!$G$10,"",B194+1))</f>
        <v>32</v>
      </c>
    </row>
    <row r="196" spans="1:2" x14ac:dyDescent="0.2">
      <c r="A196" s="537">
        <v>44805</v>
      </c>
      <c r="B196" s="536">
        <f ca="1">+IF(DATE(YEAR('Proposta 1 Via'!$G$10),MONTH('Proposta 1 Via'!$G$10),DAY(Meses!$B$1))=Meses!A196,0,IF(Meses!A196&lt;'Proposta 1 Via'!$G$10,"",B195+1))</f>
        <v>33</v>
      </c>
    </row>
    <row r="197" spans="1:2" x14ac:dyDescent="0.2">
      <c r="A197" s="537">
        <v>44835</v>
      </c>
      <c r="B197" s="536">
        <f ca="1">+IF(DATE(YEAR('Proposta 1 Via'!$G$10),MONTH('Proposta 1 Via'!$G$10),DAY(Meses!$B$1))=Meses!A197,0,IF(Meses!A197&lt;'Proposta 1 Via'!$G$10,"",B196+1))</f>
        <v>34</v>
      </c>
    </row>
    <row r="198" spans="1:2" x14ac:dyDescent="0.2">
      <c r="A198" s="537">
        <v>44866</v>
      </c>
      <c r="B198" s="536">
        <f ca="1">+IF(DATE(YEAR('Proposta 1 Via'!$G$10),MONTH('Proposta 1 Via'!$G$10),DAY(Meses!$B$1))=Meses!A198,0,IF(Meses!A198&lt;'Proposta 1 Via'!$G$10,"",B197+1))</f>
        <v>35</v>
      </c>
    </row>
    <row r="199" spans="1:2" x14ac:dyDescent="0.2">
      <c r="A199" s="537">
        <v>44896</v>
      </c>
      <c r="B199" s="536">
        <f ca="1">+IF(DATE(YEAR('Proposta 1 Via'!$G$10),MONTH('Proposta 1 Via'!$G$10),DAY(Meses!$B$1))=Meses!A199,0,IF(Meses!A199&lt;'Proposta 1 Via'!$G$10,"",B198+1))</f>
        <v>36</v>
      </c>
    </row>
    <row r="200" spans="1:2" x14ac:dyDescent="0.2">
      <c r="A200" s="537">
        <v>44927</v>
      </c>
      <c r="B200" s="536">
        <f ca="1">+IF(DATE(YEAR('Proposta 1 Via'!$G$10),MONTH('Proposta 1 Via'!$G$10),DAY(Meses!$B$1))=Meses!A200,0,IF(Meses!A200&lt;'Proposta 1 Via'!$G$10,"",B199+1))</f>
        <v>37</v>
      </c>
    </row>
    <row r="201" spans="1:2" x14ac:dyDescent="0.2">
      <c r="A201" s="537">
        <v>44958</v>
      </c>
      <c r="B201" s="536">
        <f ca="1">+IF(DATE(YEAR('Proposta 1 Via'!$G$10),MONTH('Proposta 1 Via'!$G$10),DAY(Meses!$B$1))=Meses!A201,0,IF(Meses!A201&lt;'Proposta 1 Via'!$G$10,"",B200+1))</f>
        <v>38</v>
      </c>
    </row>
    <row r="202" spans="1:2" x14ac:dyDescent="0.2">
      <c r="A202" s="537">
        <v>44986</v>
      </c>
      <c r="B202" s="536">
        <f ca="1">+IF(DATE(YEAR('Proposta 1 Via'!$G$10),MONTH('Proposta 1 Via'!$G$10),DAY(Meses!$B$1))=Meses!A202,0,IF(Meses!A202&lt;'Proposta 1 Via'!$G$10,"",B201+1))</f>
        <v>39</v>
      </c>
    </row>
    <row r="203" spans="1:2" x14ac:dyDescent="0.2">
      <c r="A203" s="537">
        <v>45017</v>
      </c>
      <c r="B203" s="536">
        <f ca="1">+IF(DATE(YEAR('Proposta 1 Via'!$G$10),MONTH('Proposta 1 Via'!$G$10),DAY(Meses!$B$1))=Meses!A203,0,IF(Meses!A203&lt;'Proposta 1 Via'!$G$10,"",B202+1))</f>
        <v>40</v>
      </c>
    </row>
    <row r="204" spans="1:2" x14ac:dyDescent="0.2">
      <c r="A204" s="537">
        <v>45047</v>
      </c>
      <c r="B204" s="536">
        <f ca="1">+IF(DATE(YEAR('Proposta 1 Via'!$G$10),MONTH('Proposta 1 Via'!$G$10),DAY(Meses!$B$1))=Meses!A204,0,IF(Meses!A204&lt;'Proposta 1 Via'!$G$10,"",B203+1))</f>
        <v>41</v>
      </c>
    </row>
    <row r="205" spans="1:2" x14ac:dyDescent="0.2">
      <c r="A205" s="537">
        <v>45078</v>
      </c>
      <c r="B205" s="536">
        <f ca="1">+IF(DATE(YEAR('Proposta 1 Via'!$G$10),MONTH('Proposta 1 Via'!$G$10),DAY(Meses!$B$1))=Meses!A205,0,IF(Meses!A205&lt;'Proposta 1 Via'!$G$10,"",B204+1))</f>
        <v>42</v>
      </c>
    </row>
    <row r="206" spans="1:2" x14ac:dyDescent="0.2">
      <c r="A206" s="537">
        <v>45108</v>
      </c>
      <c r="B206" s="536">
        <f ca="1">+IF(DATE(YEAR('Proposta 1 Via'!$G$10),MONTH('Proposta 1 Via'!$G$10),DAY(Meses!$B$1))=Meses!A206,0,IF(Meses!A206&lt;'Proposta 1 Via'!$G$10,"",B205+1))</f>
        <v>43</v>
      </c>
    </row>
    <row r="207" spans="1:2" x14ac:dyDescent="0.2">
      <c r="A207" s="537">
        <v>45139</v>
      </c>
      <c r="B207" s="536">
        <f ca="1">+IF(DATE(YEAR('Proposta 1 Via'!$G$10),MONTH('Proposta 1 Via'!$G$10),DAY(Meses!$B$1))=Meses!A207,0,IF(Meses!A207&lt;'Proposta 1 Via'!$G$10,"",B206+1))</f>
        <v>44</v>
      </c>
    </row>
    <row r="208" spans="1:2" x14ac:dyDescent="0.2">
      <c r="A208" s="537">
        <v>45170</v>
      </c>
      <c r="B208" s="536">
        <f ca="1">+IF(DATE(YEAR('Proposta 1 Via'!$G$10),MONTH('Proposta 1 Via'!$G$10),DAY(Meses!$B$1))=Meses!A208,0,IF(Meses!A208&lt;'Proposta 1 Via'!$G$10,"",B207+1))</f>
        <v>45</v>
      </c>
    </row>
    <row r="209" spans="1:2" x14ac:dyDescent="0.2">
      <c r="A209" s="537">
        <v>45200</v>
      </c>
      <c r="B209" s="536">
        <f ca="1">+IF(DATE(YEAR('Proposta 1 Via'!$G$10),MONTH('Proposta 1 Via'!$G$10),DAY(Meses!$B$1))=Meses!A209,0,IF(Meses!A209&lt;'Proposta 1 Via'!$G$10,"",B208+1))</f>
        <v>46</v>
      </c>
    </row>
    <row r="210" spans="1:2" x14ac:dyDescent="0.2">
      <c r="A210" s="537">
        <v>45231</v>
      </c>
      <c r="B210" s="536">
        <f ca="1">+IF(DATE(YEAR('Proposta 1 Via'!$G$10),MONTH('Proposta 1 Via'!$G$10),DAY(Meses!$B$1))=Meses!A210,0,IF(Meses!A210&lt;'Proposta 1 Via'!$G$10,"",B209+1))</f>
        <v>47</v>
      </c>
    </row>
    <row r="211" spans="1:2" x14ac:dyDescent="0.2">
      <c r="A211" s="537">
        <v>45261</v>
      </c>
      <c r="B211" s="536">
        <f ca="1">+IF(DATE(YEAR('Proposta 1 Via'!$G$10),MONTH('Proposta 1 Via'!$G$10),DAY(Meses!$B$1))=Meses!A211,0,IF(Meses!A211&lt;'Proposta 1 Via'!$G$10,"",B210+1))</f>
        <v>48</v>
      </c>
    </row>
    <row r="212" spans="1:2" x14ac:dyDescent="0.2">
      <c r="A212" s="537">
        <v>45292</v>
      </c>
      <c r="B212" s="536">
        <f ca="1">+IF(DATE(YEAR('Proposta 1 Via'!$G$10),MONTH('Proposta 1 Via'!$G$10),DAY(Meses!$B$1))=Meses!A212,0,IF(Meses!A212&lt;'Proposta 1 Via'!$G$10,"",B211+1))</f>
        <v>49</v>
      </c>
    </row>
    <row r="213" spans="1:2" x14ac:dyDescent="0.2">
      <c r="A213" s="537">
        <v>45323</v>
      </c>
      <c r="B213" s="536">
        <f ca="1">+IF(DATE(YEAR('Proposta 1 Via'!$G$10),MONTH('Proposta 1 Via'!$G$10),DAY(Meses!$B$1))=Meses!A213,0,IF(Meses!A213&lt;'Proposta 1 Via'!$G$10,"",B212+1))</f>
        <v>50</v>
      </c>
    </row>
    <row r="214" spans="1:2" x14ac:dyDescent="0.2">
      <c r="A214" s="537">
        <v>45352</v>
      </c>
      <c r="B214" s="536">
        <f ca="1">+IF(DATE(YEAR('Proposta 1 Via'!$G$10),MONTH('Proposta 1 Via'!$G$10),DAY(Meses!$B$1))=Meses!A214,0,IF(Meses!A214&lt;'Proposta 1 Via'!$G$10,"",B213+1))</f>
        <v>51</v>
      </c>
    </row>
    <row r="215" spans="1:2" x14ac:dyDescent="0.2">
      <c r="A215" s="537">
        <v>45383</v>
      </c>
      <c r="B215" s="536">
        <f ca="1">+IF(DATE(YEAR('Proposta 1 Via'!$G$10),MONTH('Proposta 1 Via'!$G$10),DAY(Meses!$B$1))=Meses!A215,0,IF(Meses!A215&lt;'Proposta 1 Via'!$G$10,"",B214+1))</f>
        <v>52</v>
      </c>
    </row>
    <row r="216" spans="1:2" x14ac:dyDescent="0.2">
      <c r="A216" s="537">
        <v>45413</v>
      </c>
      <c r="B216" s="536">
        <f ca="1">+IF(DATE(YEAR('Proposta 1 Via'!$G$10),MONTH('Proposta 1 Via'!$G$10),DAY(Meses!$B$1))=Meses!A216,0,IF(Meses!A216&lt;'Proposta 1 Via'!$G$10,"",B215+1))</f>
        <v>53</v>
      </c>
    </row>
    <row r="217" spans="1:2" x14ac:dyDescent="0.2">
      <c r="A217" s="537">
        <v>45444</v>
      </c>
      <c r="B217" s="536">
        <f ca="1">+IF(DATE(YEAR('Proposta 1 Via'!$G$10),MONTH('Proposta 1 Via'!$G$10),DAY(Meses!$B$1))=Meses!A217,0,IF(Meses!A217&lt;'Proposta 1 Via'!$G$10,"",B216+1))</f>
        <v>54</v>
      </c>
    </row>
    <row r="218" spans="1:2" x14ac:dyDescent="0.2">
      <c r="A218" s="537">
        <v>45474</v>
      </c>
      <c r="B218" s="536">
        <f ca="1">+IF(DATE(YEAR('Proposta 1 Via'!$G$10),MONTH('Proposta 1 Via'!$G$10),DAY(Meses!$B$1))=Meses!A218,0,IF(Meses!A218&lt;'Proposta 1 Via'!$G$10,"",B217+1))</f>
        <v>55</v>
      </c>
    </row>
    <row r="219" spans="1:2" x14ac:dyDescent="0.2">
      <c r="A219" s="537">
        <v>45505</v>
      </c>
      <c r="B219" s="536">
        <f ca="1">+IF(DATE(YEAR('Proposta 1 Via'!$G$10),MONTH('Proposta 1 Via'!$G$10),DAY(Meses!$B$1))=Meses!A219,0,IF(Meses!A219&lt;'Proposta 1 Via'!$G$10,"",B218+1))</f>
        <v>56</v>
      </c>
    </row>
    <row r="220" spans="1:2" x14ac:dyDescent="0.2">
      <c r="A220" s="537">
        <v>45536</v>
      </c>
      <c r="B220" s="536">
        <f ca="1">+IF(DATE(YEAR('Proposta 1 Via'!$G$10),MONTH('Proposta 1 Via'!$G$10),DAY(Meses!$B$1))=Meses!A220,0,IF(Meses!A220&lt;'Proposta 1 Via'!$G$10,"",B219+1))</f>
        <v>57</v>
      </c>
    </row>
    <row r="221" spans="1:2" x14ac:dyDescent="0.2">
      <c r="A221" s="537">
        <v>45566</v>
      </c>
      <c r="B221" s="536">
        <f ca="1">+IF(DATE(YEAR('Proposta 1 Via'!$G$10),MONTH('Proposta 1 Via'!$G$10),DAY(Meses!$B$1))=Meses!A221,0,IF(Meses!A221&lt;'Proposta 1 Via'!$G$10,"",B220+1))</f>
        <v>58</v>
      </c>
    </row>
    <row r="222" spans="1:2" x14ac:dyDescent="0.2">
      <c r="A222" s="537">
        <v>45597</v>
      </c>
      <c r="B222" s="536">
        <f ca="1">+IF(DATE(YEAR('Proposta 1 Via'!$G$10),MONTH('Proposta 1 Via'!$G$10),DAY(Meses!$B$1))=Meses!A222,0,IF(Meses!A222&lt;'Proposta 1 Via'!$G$10,"",B221+1))</f>
        <v>59</v>
      </c>
    </row>
    <row r="223" spans="1:2" x14ac:dyDescent="0.2">
      <c r="A223" s="537">
        <v>45627</v>
      </c>
      <c r="B223" s="536">
        <f ca="1">+IF(DATE(YEAR('Proposta 1 Via'!$G$10),MONTH('Proposta 1 Via'!$G$10),DAY(Meses!$B$1))=Meses!A223,0,IF(Meses!A223&lt;'Proposta 1 Via'!$G$10,"",B222+1))</f>
        <v>60</v>
      </c>
    </row>
    <row r="224" spans="1:2" x14ac:dyDescent="0.2">
      <c r="A224" s="537">
        <v>45658</v>
      </c>
      <c r="B224" s="536">
        <f ca="1">+IF(DATE(YEAR('Proposta 1 Via'!$G$10),MONTH('Proposta 1 Via'!$G$10),DAY(Meses!$B$1))=Meses!A224,0,IF(Meses!A224&lt;'Proposta 1 Via'!$G$10,"",B223+1))</f>
        <v>61</v>
      </c>
    </row>
    <row r="225" spans="1:2" x14ac:dyDescent="0.2">
      <c r="A225" s="537">
        <v>45689</v>
      </c>
      <c r="B225" s="536">
        <f ca="1">+IF(DATE(YEAR('Proposta 1 Via'!$G$10),MONTH('Proposta 1 Via'!$G$10),DAY(Meses!$B$1))=Meses!A225,0,IF(Meses!A225&lt;'Proposta 1 Via'!$G$10,"",B224+1))</f>
        <v>62</v>
      </c>
    </row>
    <row r="226" spans="1:2" x14ac:dyDescent="0.2">
      <c r="A226" s="537">
        <v>45717</v>
      </c>
      <c r="B226" s="536">
        <f ca="1">+IF(DATE(YEAR('Proposta 1 Via'!$G$10),MONTH('Proposta 1 Via'!$G$10),DAY(Meses!$B$1))=Meses!A226,0,IF(Meses!A226&lt;'Proposta 1 Via'!$G$10,"",B225+1))</f>
        <v>63</v>
      </c>
    </row>
    <row r="227" spans="1:2" x14ac:dyDescent="0.2">
      <c r="A227" s="537">
        <v>45748</v>
      </c>
      <c r="B227" s="536">
        <f ca="1">+IF(DATE(YEAR('Proposta 1 Via'!$G$10),MONTH('Proposta 1 Via'!$G$10),DAY(Meses!$B$1))=Meses!A227,0,IF(Meses!A227&lt;'Proposta 1 Via'!$G$10,"",B226+1))</f>
        <v>64</v>
      </c>
    </row>
    <row r="228" spans="1:2" x14ac:dyDescent="0.2">
      <c r="A228" s="537">
        <v>45778</v>
      </c>
      <c r="B228" s="536">
        <f ca="1">+IF(DATE(YEAR('Proposta 1 Via'!$G$10),MONTH('Proposta 1 Via'!$G$10),DAY(Meses!$B$1))=Meses!A228,0,IF(Meses!A228&lt;'Proposta 1 Via'!$G$10,"",B227+1))</f>
        <v>65</v>
      </c>
    </row>
    <row r="229" spans="1:2" x14ac:dyDescent="0.2">
      <c r="A229" s="537">
        <v>45809</v>
      </c>
      <c r="B229" s="536">
        <f ca="1">+IF(DATE(YEAR('Proposta 1 Via'!$G$10),MONTH('Proposta 1 Via'!$G$10),DAY(Meses!$B$1))=Meses!A229,0,IF(Meses!A229&lt;'Proposta 1 Via'!$G$10,"",B228+1))</f>
        <v>66</v>
      </c>
    </row>
    <row r="230" spans="1:2" x14ac:dyDescent="0.2">
      <c r="A230" s="537">
        <v>45839</v>
      </c>
      <c r="B230" s="536">
        <f ca="1">+IF(DATE(YEAR('Proposta 1 Via'!$G$10),MONTH('Proposta 1 Via'!$G$10),DAY(Meses!$B$1))=Meses!A230,0,IF(Meses!A230&lt;'Proposta 1 Via'!$G$10,"",B229+1))</f>
        <v>67</v>
      </c>
    </row>
    <row r="231" spans="1:2" x14ac:dyDescent="0.2">
      <c r="A231" s="537">
        <v>45870</v>
      </c>
      <c r="B231" s="536">
        <f ca="1">+IF(DATE(YEAR('Proposta 1 Via'!$G$10),MONTH('Proposta 1 Via'!$G$10),DAY(Meses!$B$1))=Meses!A231,0,IF(Meses!A231&lt;'Proposta 1 Via'!$G$10,"",B230+1))</f>
        <v>68</v>
      </c>
    </row>
    <row r="232" spans="1:2" x14ac:dyDescent="0.2">
      <c r="A232" s="537">
        <v>45901</v>
      </c>
      <c r="B232" s="536">
        <f ca="1">+IF(DATE(YEAR('Proposta 1 Via'!$G$10),MONTH('Proposta 1 Via'!$G$10),DAY(Meses!$B$1))=Meses!A232,0,IF(Meses!A232&lt;'Proposta 1 Via'!$G$10,"",B231+1))</f>
        <v>69</v>
      </c>
    </row>
    <row r="233" spans="1:2" x14ac:dyDescent="0.2">
      <c r="A233" s="537">
        <v>45931</v>
      </c>
      <c r="B233" s="536">
        <f ca="1">+IF(DATE(YEAR('Proposta 1 Via'!$G$10),MONTH('Proposta 1 Via'!$G$10),DAY(Meses!$B$1))=Meses!A233,0,IF(Meses!A233&lt;'Proposta 1 Via'!$G$10,"",B232+1))</f>
        <v>70</v>
      </c>
    </row>
    <row r="234" spans="1:2" x14ac:dyDescent="0.2">
      <c r="A234" s="537">
        <v>45962</v>
      </c>
      <c r="B234" s="536">
        <f ca="1">+IF(DATE(YEAR('Proposta 1 Via'!$G$10),MONTH('Proposta 1 Via'!$G$10),DAY(Meses!$B$1))=Meses!A234,0,IF(Meses!A234&lt;'Proposta 1 Via'!$G$10,"",B233+1))</f>
        <v>71</v>
      </c>
    </row>
    <row r="235" spans="1:2" x14ac:dyDescent="0.2">
      <c r="A235" s="537">
        <v>45992</v>
      </c>
      <c r="B235" s="536">
        <f ca="1">+IF(DATE(YEAR('Proposta 1 Via'!$G$10),MONTH('Proposta 1 Via'!$G$10),DAY(Meses!$B$1))=Meses!A235,0,IF(Meses!A235&lt;'Proposta 1 Via'!$G$10,"",B234+1))</f>
        <v>72</v>
      </c>
    </row>
    <row r="236" spans="1:2" x14ac:dyDescent="0.2">
      <c r="A236" s="537">
        <v>46023</v>
      </c>
      <c r="B236" s="536">
        <f ca="1">+IF(DATE(YEAR('Proposta 1 Via'!$G$10),MONTH('Proposta 1 Via'!$G$10),DAY(Meses!$B$1))=Meses!A236,0,IF(Meses!A236&lt;'Proposta 1 Via'!$G$10,"",B235+1))</f>
        <v>73</v>
      </c>
    </row>
    <row r="237" spans="1:2" x14ac:dyDescent="0.2">
      <c r="A237" s="537">
        <v>46054</v>
      </c>
      <c r="B237" s="536">
        <f ca="1">+IF(DATE(YEAR('Proposta 1 Via'!$G$10),MONTH('Proposta 1 Via'!$G$10),DAY(Meses!$B$1))=Meses!A237,0,IF(Meses!A237&lt;'Proposta 1 Via'!$G$10,"",B236+1))</f>
        <v>74</v>
      </c>
    </row>
    <row r="238" spans="1:2" x14ac:dyDescent="0.2">
      <c r="A238" s="537">
        <v>46082</v>
      </c>
      <c r="B238" s="536">
        <f ca="1">+IF(DATE(YEAR('Proposta 1 Via'!$G$10),MONTH('Proposta 1 Via'!$G$10),DAY(Meses!$B$1))=Meses!A238,0,IF(Meses!A238&lt;'Proposta 1 Via'!$G$10,"",B237+1))</f>
        <v>75</v>
      </c>
    </row>
    <row r="239" spans="1:2" x14ac:dyDescent="0.2">
      <c r="A239" s="537">
        <v>46113</v>
      </c>
      <c r="B239" s="536">
        <f ca="1">+IF(DATE(YEAR('Proposta 1 Via'!$G$10),MONTH('Proposta 1 Via'!$G$10),DAY(Meses!$B$1))=Meses!A239,0,IF(Meses!A239&lt;'Proposta 1 Via'!$G$10,"",B238+1))</f>
        <v>76</v>
      </c>
    </row>
    <row r="240" spans="1:2" x14ac:dyDescent="0.2">
      <c r="A240" s="537">
        <v>46143</v>
      </c>
      <c r="B240" s="536">
        <f ca="1">+IF(DATE(YEAR('Proposta 1 Via'!$G$10),MONTH('Proposta 1 Via'!$G$10),DAY(Meses!$B$1))=Meses!A240,0,IF(Meses!A240&lt;'Proposta 1 Via'!$G$10,"",B239+1))</f>
        <v>77</v>
      </c>
    </row>
    <row r="241" spans="1:2" x14ac:dyDescent="0.2">
      <c r="A241" s="537">
        <v>46174</v>
      </c>
      <c r="B241" s="536">
        <f ca="1">+IF(DATE(YEAR('Proposta 1 Via'!$G$10),MONTH('Proposta 1 Via'!$G$10),DAY(Meses!$B$1))=Meses!A241,0,IF(Meses!A241&lt;'Proposta 1 Via'!$G$10,"",B240+1))</f>
        <v>78</v>
      </c>
    </row>
    <row r="242" spans="1:2" x14ac:dyDescent="0.2">
      <c r="A242" s="537">
        <v>46204</v>
      </c>
      <c r="B242" s="536">
        <f ca="1">+IF(DATE(YEAR('Proposta 1 Via'!$G$10),MONTH('Proposta 1 Via'!$G$10),DAY(Meses!$B$1))=Meses!A242,0,IF(Meses!A242&lt;'Proposta 1 Via'!$G$10,"",B241+1))</f>
        <v>79</v>
      </c>
    </row>
    <row r="243" spans="1:2" x14ac:dyDescent="0.2">
      <c r="A243" s="537">
        <v>46235</v>
      </c>
      <c r="B243" s="536">
        <f ca="1">+IF(DATE(YEAR('Proposta 1 Via'!$G$10),MONTH('Proposta 1 Via'!$G$10),DAY(Meses!$B$1))=Meses!A243,0,IF(Meses!A243&lt;'Proposta 1 Via'!$G$10,"",B242+1))</f>
        <v>80</v>
      </c>
    </row>
    <row r="244" spans="1:2" x14ac:dyDescent="0.2">
      <c r="A244" s="537">
        <v>46266</v>
      </c>
      <c r="B244" s="536">
        <f ca="1">+IF(DATE(YEAR('Proposta 1 Via'!$G$10),MONTH('Proposta 1 Via'!$G$10),DAY(Meses!$B$1))=Meses!A244,0,IF(Meses!A244&lt;'Proposta 1 Via'!$G$10,"",B243+1))</f>
        <v>81</v>
      </c>
    </row>
    <row r="245" spans="1:2" x14ac:dyDescent="0.2">
      <c r="A245" s="537">
        <v>46296</v>
      </c>
      <c r="B245" s="536">
        <f ca="1">+IF(DATE(YEAR('Proposta 1 Via'!$G$10),MONTH('Proposta 1 Via'!$G$10),DAY(Meses!$B$1))=Meses!A245,0,IF(Meses!A245&lt;'Proposta 1 Via'!$G$10,"",B244+1))</f>
        <v>82</v>
      </c>
    </row>
    <row r="246" spans="1:2" x14ac:dyDescent="0.2">
      <c r="A246" s="537">
        <v>46327</v>
      </c>
      <c r="B246" s="536">
        <f ca="1">+IF(DATE(YEAR('Proposta 1 Via'!$G$10),MONTH('Proposta 1 Via'!$G$10),DAY(Meses!$B$1))=Meses!A246,0,IF(Meses!A246&lt;'Proposta 1 Via'!$G$10,"",B245+1))</f>
        <v>83</v>
      </c>
    </row>
    <row r="247" spans="1:2" x14ac:dyDescent="0.2">
      <c r="A247" s="537">
        <v>46357</v>
      </c>
      <c r="B247" s="536">
        <f ca="1">+IF(DATE(YEAR('Proposta 1 Via'!$G$10),MONTH('Proposta 1 Via'!$G$10),DAY(Meses!$B$1))=Meses!A247,0,IF(Meses!A247&lt;'Proposta 1 Via'!$G$10,"",B246+1))</f>
        <v>84</v>
      </c>
    </row>
    <row r="248" spans="1:2" x14ac:dyDescent="0.2">
      <c r="A248" s="537">
        <v>46388</v>
      </c>
      <c r="B248" s="536">
        <f ca="1">+IF(DATE(YEAR('Proposta 1 Via'!$G$10),MONTH('Proposta 1 Via'!$G$10),DAY(Meses!$B$1))=Meses!A248,0,IF(Meses!A248&lt;'Proposta 1 Via'!$G$10,"",B247+1))</f>
        <v>85</v>
      </c>
    </row>
    <row r="249" spans="1:2" x14ac:dyDescent="0.2">
      <c r="A249" s="537">
        <v>46419</v>
      </c>
      <c r="B249" s="536">
        <f ca="1">+IF(DATE(YEAR('Proposta 1 Via'!$G$10),MONTH('Proposta 1 Via'!$G$10),DAY(Meses!$B$1))=Meses!A249,0,IF(Meses!A249&lt;'Proposta 1 Via'!$G$10,"",B248+1))</f>
        <v>86</v>
      </c>
    </row>
    <row r="250" spans="1:2" x14ac:dyDescent="0.2">
      <c r="A250" s="537">
        <v>46447</v>
      </c>
      <c r="B250" s="536">
        <f ca="1">+IF(DATE(YEAR('Proposta 1 Via'!$G$10),MONTH('Proposta 1 Via'!$G$10),DAY(Meses!$B$1))=Meses!A250,0,IF(Meses!A250&lt;'Proposta 1 Via'!$G$10,"",B249+1))</f>
        <v>87</v>
      </c>
    </row>
    <row r="251" spans="1:2" x14ac:dyDescent="0.2">
      <c r="A251" s="537">
        <v>46478</v>
      </c>
      <c r="B251" s="536">
        <f ca="1">+IF(DATE(YEAR('Proposta 1 Via'!$G$10),MONTH('Proposta 1 Via'!$G$10),DAY(Meses!$B$1))=Meses!A251,0,IF(Meses!A251&lt;'Proposta 1 Via'!$G$10,"",B250+1))</f>
        <v>88</v>
      </c>
    </row>
    <row r="252" spans="1:2" x14ac:dyDescent="0.2">
      <c r="A252" s="537">
        <v>46508</v>
      </c>
      <c r="B252" s="536">
        <f ca="1">+IF(DATE(YEAR('Proposta 1 Via'!$G$10),MONTH('Proposta 1 Via'!$G$10),DAY(Meses!$B$1))=Meses!A252,0,IF(Meses!A252&lt;'Proposta 1 Via'!$G$10,"",B251+1))</f>
        <v>89</v>
      </c>
    </row>
    <row r="253" spans="1:2" x14ac:dyDescent="0.2">
      <c r="A253" s="537">
        <v>46539</v>
      </c>
      <c r="B253" s="536">
        <f ca="1">+IF(DATE(YEAR('Proposta 1 Via'!$G$10),MONTH('Proposta 1 Via'!$G$10),DAY(Meses!$B$1))=Meses!A253,0,IF(Meses!A253&lt;'Proposta 1 Via'!$G$10,"",B252+1))</f>
        <v>90</v>
      </c>
    </row>
    <row r="254" spans="1:2" x14ac:dyDescent="0.2">
      <c r="A254" s="537">
        <v>46569</v>
      </c>
      <c r="B254" s="536">
        <f ca="1">+IF(DATE(YEAR('Proposta 1 Via'!$G$10),MONTH('Proposta 1 Via'!$G$10),DAY(Meses!$B$1))=Meses!A254,0,IF(Meses!A254&lt;'Proposta 1 Via'!$G$10,"",B253+1))</f>
        <v>91</v>
      </c>
    </row>
    <row r="255" spans="1:2" x14ac:dyDescent="0.2">
      <c r="A255" s="537">
        <v>46600</v>
      </c>
      <c r="B255" s="536">
        <f ca="1">+IF(DATE(YEAR('Proposta 1 Via'!$G$10),MONTH('Proposta 1 Via'!$G$10),DAY(Meses!$B$1))=Meses!A255,0,IF(Meses!A255&lt;'Proposta 1 Via'!$G$10,"",B254+1))</f>
        <v>92</v>
      </c>
    </row>
    <row r="256" spans="1:2" x14ac:dyDescent="0.2">
      <c r="A256" s="537">
        <v>46631</v>
      </c>
      <c r="B256" s="536">
        <f ca="1">+IF(DATE(YEAR('Proposta 1 Via'!$G$10),MONTH('Proposta 1 Via'!$G$10),DAY(Meses!$B$1))=Meses!A256,0,IF(Meses!A256&lt;'Proposta 1 Via'!$G$10,"",B255+1))</f>
        <v>93</v>
      </c>
    </row>
    <row r="257" spans="1:2" x14ac:dyDescent="0.2">
      <c r="A257" s="537">
        <v>46661</v>
      </c>
      <c r="B257" s="536">
        <f ca="1">+IF(DATE(YEAR('Proposta 1 Via'!$G$10),MONTH('Proposta 1 Via'!$G$10),DAY(Meses!$B$1))=Meses!A257,0,IF(Meses!A257&lt;'Proposta 1 Via'!$G$10,"",B256+1))</f>
        <v>94</v>
      </c>
    </row>
    <row r="258" spans="1:2" x14ac:dyDescent="0.2">
      <c r="A258" s="537">
        <v>46692</v>
      </c>
      <c r="B258" s="536">
        <f ca="1">+IF(DATE(YEAR('Proposta 1 Via'!$G$10),MONTH('Proposta 1 Via'!$G$10),DAY(Meses!$B$1))=Meses!A258,0,IF(Meses!A258&lt;'Proposta 1 Via'!$G$10,"",B257+1))</f>
        <v>95</v>
      </c>
    </row>
    <row r="259" spans="1:2" x14ac:dyDescent="0.2">
      <c r="A259" s="537">
        <v>46722</v>
      </c>
      <c r="B259" s="536">
        <f ca="1">+IF(DATE(YEAR('Proposta 1 Via'!$G$10),MONTH('Proposta 1 Via'!$G$10),DAY(Meses!$B$1))=Meses!A259,0,IF(Meses!A259&lt;'Proposta 1 Via'!$G$10,"",B258+1))</f>
        <v>96</v>
      </c>
    </row>
    <row r="260" spans="1:2" x14ac:dyDescent="0.2">
      <c r="A260" s="537">
        <v>46753</v>
      </c>
      <c r="B260" s="536">
        <f ca="1">+IF(DATE(YEAR('Proposta 1 Via'!$G$10),MONTH('Proposta 1 Via'!$G$10),DAY(Meses!$B$1))=Meses!A260,0,IF(Meses!A260&lt;'Proposta 1 Via'!$G$10,"",B259+1))</f>
        <v>97</v>
      </c>
    </row>
    <row r="261" spans="1:2" x14ac:dyDescent="0.2">
      <c r="A261" s="537">
        <v>46784</v>
      </c>
      <c r="B261" s="536">
        <f ca="1">+IF(DATE(YEAR('Proposta 1 Via'!$G$10),MONTH('Proposta 1 Via'!$G$10),DAY(Meses!$B$1))=Meses!A261,0,IF(Meses!A261&lt;'Proposta 1 Via'!$G$10,"",B260+1))</f>
        <v>98</v>
      </c>
    </row>
    <row r="262" spans="1:2" x14ac:dyDescent="0.2">
      <c r="A262" s="537">
        <v>46813</v>
      </c>
      <c r="B262" s="536">
        <f ca="1">+IF(DATE(YEAR('Proposta 1 Via'!$G$10),MONTH('Proposta 1 Via'!$G$10),DAY(Meses!$B$1))=Meses!A262,0,IF(Meses!A262&lt;'Proposta 1 Via'!$G$10,"",B261+1))</f>
        <v>99</v>
      </c>
    </row>
    <row r="263" spans="1:2" x14ac:dyDescent="0.2">
      <c r="A263" s="537">
        <v>46844</v>
      </c>
      <c r="B263" s="536">
        <f ca="1">+IF(DATE(YEAR('Proposta 1 Via'!$G$10),MONTH('Proposta 1 Via'!$G$10),DAY(Meses!$B$1))=Meses!A263,0,IF(Meses!A263&lt;'Proposta 1 Via'!$G$10,"",B262+1))</f>
        <v>100</v>
      </c>
    </row>
    <row r="264" spans="1:2" x14ac:dyDescent="0.2">
      <c r="A264" s="537">
        <v>46874</v>
      </c>
      <c r="B264" s="536">
        <f ca="1">+IF(DATE(YEAR('Proposta 1 Via'!$G$10),MONTH('Proposta 1 Via'!$G$10),DAY(Meses!$B$1))=Meses!A264,0,IF(Meses!A264&lt;'Proposta 1 Via'!$G$10,"",B263+1))</f>
        <v>101</v>
      </c>
    </row>
    <row r="265" spans="1:2" x14ac:dyDescent="0.2">
      <c r="A265" s="537">
        <v>46905</v>
      </c>
      <c r="B265" s="536">
        <f ca="1">+IF(DATE(YEAR('Proposta 1 Via'!$G$10),MONTH('Proposta 1 Via'!$G$10),DAY(Meses!$B$1))=Meses!A265,0,IF(Meses!A265&lt;'Proposta 1 Via'!$G$10,"",B264+1))</f>
        <v>102</v>
      </c>
    </row>
    <row r="266" spans="1:2" x14ac:dyDescent="0.2">
      <c r="A266" s="537">
        <v>46935</v>
      </c>
      <c r="B266" s="536">
        <f ca="1">+IF(DATE(YEAR('Proposta 1 Via'!$G$10),MONTH('Proposta 1 Via'!$G$10),DAY(Meses!$B$1))=Meses!A266,0,IF(Meses!A266&lt;'Proposta 1 Via'!$G$10,"",B265+1))</f>
        <v>103</v>
      </c>
    </row>
    <row r="267" spans="1:2" x14ac:dyDescent="0.2">
      <c r="A267" s="537">
        <v>46966</v>
      </c>
      <c r="B267" s="536">
        <f ca="1">+IF(DATE(YEAR('Proposta 1 Via'!$G$10),MONTH('Proposta 1 Via'!$G$10),DAY(Meses!$B$1))=Meses!A267,0,IF(Meses!A267&lt;'Proposta 1 Via'!$G$10,"",B266+1))</f>
        <v>104</v>
      </c>
    </row>
    <row r="268" spans="1:2" x14ac:dyDescent="0.2">
      <c r="A268" s="537">
        <v>46997</v>
      </c>
      <c r="B268" s="536">
        <f ca="1">+IF(DATE(YEAR('Proposta 1 Via'!$G$10),MONTH('Proposta 1 Via'!$G$10),DAY(Meses!$B$1))=Meses!A268,0,IF(Meses!A268&lt;'Proposta 1 Via'!$G$10,"",B267+1))</f>
        <v>105</v>
      </c>
    </row>
    <row r="269" spans="1:2" x14ac:dyDescent="0.2">
      <c r="A269" s="537">
        <v>47027</v>
      </c>
      <c r="B269" s="536">
        <f ca="1">+IF(DATE(YEAR('Proposta 1 Via'!$G$10),MONTH('Proposta 1 Via'!$G$10),DAY(Meses!$B$1))=Meses!A269,0,IF(Meses!A269&lt;'Proposta 1 Via'!$G$10,"",B268+1))</f>
        <v>106</v>
      </c>
    </row>
    <row r="270" spans="1:2" x14ac:dyDescent="0.2">
      <c r="A270" s="537">
        <v>47058</v>
      </c>
      <c r="B270" s="536">
        <f ca="1">+IF(DATE(YEAR('Proposta 1 Via'!$G$10),MONTH('Proposta 1 Via'!$G$10),DAY(Meses!$B$1))=Meses!A270,0,IF(Meses!A270&lt;'Proposta 1 Via'!$G$10,"",B269+1))</f>
        <v>107</v>
      </c>
    </row>
    <row r="271" spans="1:2" x14ac:dyDescent="0.2">
      <c r="A271" s="537">
        <v>47088</v>
      </c>
      <c r="B271" s="536">
        <f ca="1">+IF(DATE(YEAR('Proposta 1 Via'!$G$10),MONTH('Proposta 1 Via'!$G$10),DAY(Meses!$B$1))=Meses!A271,0,IF(Meses!A271&lt;'Proposta 1 Via'!$G$10,"",B270+1))</f>
        <v>108</v>
      </c>
    </row>
    <row r="272" spans="1:2" x14ac:dyDescent="0.2">
      <c r="A272" s="537">
        <v>47119</v>
      </c>
      <c r="B272" s="536">
        <f ca="1">+IF(DATE(YEAR('Proposta 1 Via'!$G$10),MONTH('Proposta 1 Via'!$G$10),DAY(Meses!$B$1))=Meses!A272,0,IF(Meses!A272&lt;'Proposta 1 Via'!$G$10,"",B271+1))</f>
        <v>109</v>
      </c>
    </row>
    <row r="273" spans="1:2" x14ac:dyDescent="0.2">
      <c r="A273" s="537">
        <v>47150</v>
      </c>
      <c r="B273" s="536">
        <f ca="1">+IF(DATE(YEAR('Proposta 1 Via'!$G$10),MONTH('Proposta 1 Via'!$G$10),DAY(Meses!$B$1))=Meses!A273,0,IF(Meses!A273&lt;'Proposta 1 Via'!$G$10,"",B272+1))</f>
        <v>110</v>
      </c>
    </row>
    <row r="274" spans="1:2" x14ac:dyDescent="0.2">
      <c r="A274" s="537">
        <v>47178</v>
      </c>
      <c r="B274" s="536">
        <f ca="1">+IF(DATE(YEAR('Proposta 1 Via'!$G$10),MONTH('Proposta 1 Via'!$G$10),DAY(Meses!$B$1))=Meses!A274,0,IF(Meses!A274&lt;'Proposta 1 Via'!$G$10,"",B273+1))</f>
        <v>111</v>
      </c>
    </row>
    <row r="275" spans="1:2" x14ac:dyDescent="0.2">
      <c r="A275" s="537">
        <v>47209</v>
      </c>
      <c r="B275" s="536">
        <f ca="1">+IF(DATE(YEAR('Proposta 1 Via'!$G$10),MONTH('Proposta 1 Via'!$G$10),DAY(Meses!$B$1))=Meses!A275,0,IF(Meses!A275&lt;'Proposta 1 Via'!$G$10,"",B274+1))</f>
        <v>112</v>
      </c>
    </row>
    <row r="276" spans="1:2" x14ac:dyDescent="0.2">
      <c r="A276" s="537">
        <v>47239</v>
      </c>
      <c r="B276" s="536">
        <f ca="1">+IF(DATE(YEAR('Proposta 1 Via'!$G$10),MONTH('Proposta 1 Via'!$G$10),DAY(Meses!$B$1))=Meses!A276,0,IF(Meses!A276&lt;'Proposta 1 Via'!$G$10,"",B275+1))</f>
        <v>113</v>
      </c>
    </row>
    <row r="277" spans="1:2" x14ac:dyDescent="0.2">
      <c r="A277" s="537">
        <v>47270</v>
      </c>
      <c r="B277" s="536">
        <f ca="1">+IF(DATE(YEAR('Proposta 1 Via'!$G$10),MONTH('Proposta 1 Via'!$G$10),DAY(Meses!$B$1))=Meses!A277,0,IF(Meses!A277&lt;'Proposta 1 Via'!$G$10,"",B276+1))</f>
        <v>114</v>
      </c>
    </row>
    <row r="278" spans="1:2" x14ac:dyDescent="0.2">
      <c r="A278" s="537">
        <v>47300</v>
      </c>
      <c r="B278" s="536">
        <f ca="1">+IF(DATE(YEAR('Proposta 1 Via'!$G$10),MONTH('Proposta 1 Via'!$G$10),DAY(Meses!$B$1))=Meses!A278,0,IF(Meses!A278&lt;'Proposta 1 Via'!$G$10,"",B277+1))</f>
        <v>115</v>
      </c>
    </row>
    <row r="279" spans="1:2" x14ac:dyDescent="0.2">
      <c r="A279" s="537">
        <v>47331</v>
      </c>
      <c r="B279" s="536">
        <f ca="1">+IF(DATE(YEAR('Proposta 1 Via'!$G$10),MONTH('Proposta 1 Via'!$G$10),DAY(Meses!$B$1))=Meses!A279,0,IF(Meses!A279&lt;'Proposta 1 Via'!$G$10,"",B278+1))</f>
        <v>116</v>
      </c>
    </row>
    <row r="280" spans="1:2" x14ac:dyDescent="0.2">
      <c r="A280" s="537">
        <v>47362</v>
      </c>
      <c r="B280" s="536">
        <f ca="1">+IF(DATE(YEAR('Proposta 1 Via'!$G$10),MONTH('Proposta 1 Via'!$G$10),DAY(Meses!$B$1))=Meses!A280,0,IF(Meses!A280&lt;'Proposta 1 Via'!$G$10,"",B279+1))</f>
        <v>117</v>
      </c>
    </row>
    <row r="281" spans="1:2" x14ac:dyDescent="0.2">
      <c r="A281" s="537">
        <v>47392</v>
      </c>
      <c r="B281" s="536">
        <f ca="1">+IF(DATE(YEAR('Proposta 1 Via'!$G$10),MONTH('Proposta 1 Via'!$G$10),DAY(Meses!$B$1))=Meses!A281,0,IF(Meses!A281&lt;'Proposta 1 Via'!$G$10,"",B280+1))</f>
        <v>118</v>
      </c>
    </row>
    <row r="282" spans="1:2" x14ac:dyDescent="0.2">
      <c r="A282" s="537">
        <v>47423</v>
      </c>
      <c r="B282" s="536">
        <f ca="1">+IF(DATE(YEAR('Proposta 1 Via'!$G$10),MONTH('Proposta 1 Via'!$G$10),DAY(Meses!$B$1))=Meses!A282,0,IF(Meses!A282&lt;'Proposta 1 Via'!$G$10,"",B281+1))</f>
        <v>119</v>
      </c>
    </row>
    <row r="283" spans="1:2" x14ac:dyDescent="0.2">
      <c r="A283" s="537">
        <v>47453</v>
      </c>
      <c r="B283" s="536">
        <f ca="1">+IF(DATE(YEAR('Proposta 1 Via'!$G$10),MONTH('Proposta 1 Via'!$G$10),DAY(Meses!$B$1))=Meses!A283,0,IF(Meses!A283&lt;'Proposta 1 Via'!$G$10,"",B282+1))</f>
        <v>120</v>
      </c>
    </row>
    <row r="284" spans="1:2" x14ac:dyDescent="0.2">
      <c r="A284" s="537">
        <v>47484</v>
      </c>
      <c r="B284" s="536">
        <f ca="1">+IF(DATE(YEAR('Proposta 1 Via'!$G$10),MONTH('Proposta 1 Via'!$G$10),DAY(Meses!$B$1))=Meses!A284,0,IF(Meses!A284&lt;'Proposta 1 Via'!$G$10,"",B283+1))</f>
        <v>121</v>
      </c>
    </row>
    <row r="285" spans="1:2" x14ac:dyDescent="0.2">
      <c r="A285" s="537">
        <v>47515</v>
      </c>
      <c r="B285" s="536">
        <f ca="1">+IF(DATE(YEAR('Proposta 1 Via'!$G$10),MONTH('Proposta 1 Via'!$G$10),DAY(Meses!$B$1))=Meses!A285,0,IF(Meses!A285&lt;'Proposta 1 Via'!$G$10,"",B284+1))</f>
        <v>122</v>
      </c>
    </row>
    <row r="286" spans="1:2" x14ac:dyDescent="0.2">
      <c r="A286" s="537">
        <v>47543</v>
      </c>
      <c r="B286" s="536">
        <f ca="1">+IF(DATE(YEAR('Proposta 1 Via'!$G$10),MONTH('Proposta 1 Via'!$G$10),DAY(Meses!$B$1))=Meses!A286,0,IF(Meses!A286&lt;'Proposta 1 Via'!$G$10,"",B285+1))</f>
        <v>123</v>
      </c>
    </row>
    <row r="287" spans="1:2" x14ac:dyDescent="0.2">
      <c r="A287" s="537">
        <v>47574</v>
      </c>
      <c r="B287" s="536">
        <f ca="1">+IF(DATE(YEAR('Proposta 1 Via'!$G$10),MONTH('Proposta 1 Via'!$G$10),DAY(Meses!$B$1))=Meses!A287,0,IF(Meses!A287&lt;'Proposta 1 Via'!$G$10,"",B286+1))</f>
        <v>124</v>
      </c>
    </row>
    <row r="288" spans="1:2" x14ac:dyDescent="0.2">
      <c r="A288" s="537">
        <v>47604</v>
      </c>
      <c r="B288" s="536">
        <f ca="1">+IF(DATE(YEAR('Proposta 1 Via'!$G$10),MONTH('Proposta 1 Via'!$G$10),DAY(Meses!$B$1))=Meses!A288,0,IF(Meses!A288&lt;'Proposta 1 Via'!$G$10,"",B287+1))</f>
        <v>125</v>
      </c>
    </row>
    <row r="289" spans="1:2" x14ac:dyDescent="0.2">
      <c r="A289" s="537">
        <v>47635</v>
      </c>
      <c r="B289" s="536">
        <f ca="1">+IF(DATE(YEAR('Proposta 1 Via'!$G$10),MONTH('Proposta 1 Via'!$G$10),DAY(Meses!$B$1))=Meses!A289,0,IF(Meses!A289&lt;'Proposta 1 Via'!$G$10,"",B288+1))</f>
        <v>126</v>
      </c>
    </row>
    <row r="290" spans="1:2" x14ac:dyDescent="0.2">
      <c r="A290" s="537">
        <v>47665</v>
      </c>
      <c r="B290" s="536">
        <f ca="1">+IF(DATE(YEAR('Proposta 1 Via'!$G$10),MONTH('Proposta 1 Via'!$G$10),DAY(Meses!$B$1))=Meses!A290,0,IF(Meses!A290&lt;'Proposta 1 Via'!$G$10,"",B289+1))</f>
        <v>127</v>
      </c>
    </row>
    <row r="291" spans="1:2" x14ac:dyDescent="0.2">
      <c r="A291" s="537">
        <v>47696</v>
      </c>
      <c r="B291" s="536">
        <f ca="1">+IF(DATE(YEAR('Proposta 1 Via'!$G$10),MONTH('Proposta 1 Via'!$G$10),DAY(Meses!$B$1))=Meses!A291,0,IF(Meses!A291&lt;'Proposta 1 Via'!$G$10,"",B290+1))</f>
        <v>128</v>
      </c>
    </row>
    <row r="292" spans="1:2" x14ac:dyDescent="0.2">
      <c r="A292" s="537">
        <v>47727</v>
      </c>
      <c r="B292" s="536">
        <f ca="1">+IF(DATE(YEAR('Proposta 1 Via'!$G$10),MONTH('Proposta 1 Via'!$G$10),DAY(Meses!$B$1))=Meses!A292,0,IF(Meses!A292&lt;'Proposta 1 Via'!$G$10,"",B291+1))</f>
        <v>129</v>
      </c>
    </row>
    <row r="293" spans="1:2" x14ac:dyDescent="0.2">
      <c r="A293" s="537">
        <v>47757</v>
      </c>
      <c r="B293" s="536">
        <f ca="1">+IF(DATE(YEAR('Proposta 1 Via'!$G$10),MONTH('Proposta 1 Via'!$G$10),DAY(Meses!$B$1))=Meses!A293,0,IF(Meses!A293&lt;'Proposta 1 Via'!$G$10,"",B292+1))</f>
        <v>130</v>
      </c>
    </row>
    <row r="294" spans="1:2" x14ac:dyDescent="0.2">
      <c r="A294" s="537">
        <v>47788</v>
      </c>
      <c r="B294" s="536">
        <f ca="1">+IF(DATE(YEAR('Proposta 1 Via'!$G$10),MONTH('Proposta 1 Via'!$G$10),DAY(Meses!$B$1))=Meses!A294,0,IF(Meses!A294&lt;'Proposta 1 Via'!$G$10,"",B293+1))</f>
        <v>131</v>
      </c>
    </row>
    <row r="295" spans="1:2" x14ac:dyDescent="0.2">
      <c r="A295" s="537">
        <v>47818</v>
      </c>
      <c r="B295" s="536">
        <f ca="1">+IF(DATE(YEAR('Proposta 1 Via'!$G$10),MONTH('Proposta 1 Via'!$G$10),DAY(Meses!$B$1))=Meses!A295,0,IF(Meses!A295&lt;'Proposta 1 Via'!$G$10,"",B294+1))</f>
        <v>132</v>
      </c>
    </row>
    <row r="296" spans="1:2" x14ac:dyDescent="0.2">
      <c r="A296" s="537">
        <v>47849</v>
      </c>
      <c r="B296" s="536">
        <f ca="1">+IF(DATE(YEAR('Proposta 1 Via'!$G$10),MONTH('Proposta 1 Via'!$G$10),DAY(Meses!$B$1))=Meses!A296,0,IF(Meses!A296&lt;'Proposta 1 Via'!$G$10,"",B295+1))</f>
        <v>133</v>
      </c>
    </row>
    <row r="297" spans="1:2" x14ac:dyDescent="0.2">
      <c r="A297" s="537">
        <v>47880</v>
      </c>
      <c r="B297" s="536">
        <f ca="1">+IF(DATE(YEAR('Proposta 1 Via'!$G$10),MONTH('Proposta 1 Via'!$G$10),DAY(Meses!$B$1))=Meses!A297,0,IF(Meses!A297&lt;'Proposta 1 Via'!$G$10,"",B296+1))</f>
        <v>134</v>
      </c>
    </row>
    <row r="298" spans="1:2" x14ac:dyDescent="0.2">
      <c r="A298" s="537">
        <v>47908</v>
      </c>
      <c r="B298" s="536">
        <f ca="1">+IF(DATE(YEAR('Proposta 1 Via'!$G$10),MONTH('Proposta 1 Via'!$G$10),DAY(Meses!$B$1))=Meses!A298,0,IF(Meses!A298&lt;'Proposta 1 Via'!$G$10,"",B297+1))</f>
        <v>135</v>
      </c>
    </row>
    <row r="299" spans="1:2" x14ac:dyDescent="0.2">
      <c r="A299" s="537">
        <v>47939</v>
      </c>
      <c r="B299" s="536">
        <f ca="1">+IF(DATE(YEAR('Proposta 1 Via'!$G$10),MONTH('Proposta 1 Via'!$G$10),DAY(Meses!$B$1))=Meses!A299,0,IF(Meses!A299&lt;'Proposta 1 Via'!$G$10,"",B298+1))</f>
        <v>136</v>
      </c>
    </row>
    <row r="300" spans="1:2" x14ac:dyDescent="0.2">
      <c r="A300" s="537">
        <v>47969</v>
      </c>
      <c r="B300" s="536">
        <f ca="1">+IF(DATE(YEAR('Proposta 1 Via'!$G$10),MONTH('Proposta 1 Via'!$G$10),DAY(Meses!$B$1))=Meses!A300,0,IF(Meses!A300&lt;'Proposta 1 Via'!$G$10,"",B299+1))</f>
        <v>137</v>
      </c>
    </row>
    <row r="301" spans="1:2" x14ac:dyDescent="0.2">
      <c r="A301" s="537">
        <v>48000</v>
      </c>
      <c r="B301" s="536">
        <f ca="1">+IF(DATE(YEAR('Proposta 1 Via'!$G$10),MONTH('Proposta 1 Via'!$G$10),DAY(Meses!$B$1))=Meses!A301,0,IF(Meses!A301&lt;'Proposta 1 Via'!$G$10,"",B300+1))</f>
        <v>138</v>
      </c>
    </row>
    <row r="302" spans="1:2" x14ac:dyDescent="0.2">
      <c r="A302" s="537">
        <v>48030</v>
      </c>
      <c r="B302" s="536">
        <f ca="1">+IF(DATE(YEAR('Proposta 1 Via'!$G$10),MONTH('Proposta 1 Via'!$G$10),DAY(Meses!$B$1))=Meses!A302,0,IF(Meses!A302&lt;'Proposta 1 Via'!$G$10,"",B301+1))</f>
        <v>139</v>
      </c>
    </row>
    <row r="303" spans="1:2" x14ac:dyDescent="0.2">
      <c r="A303" s="537">
        <v>48061</v>
      </c>
      <c r="B303" s="536">
        <f ca="1">+IF(DATE(YEAR('Proposta 1 Via'!$G$10),MONTH('Proposta 1 Via'!$G$10),DAY(Meses!$B$1))=Meses!A303,0,IF(Meses!A303&lt;'Proposta 1 Via'!$G$10,"",B302+1))</f>
        <v>140</v>
      </c>
    </row>
    <row r="304" spans="1:2" x14ac:dyDescent="0.2">
      <c r="A304" s="537">
        <v>48092</v>
      </c>
      <c r="B304" s="536">
        <f ca="1">+IF(DATE(YEAR('Proposta 1 Via'!$G$10),MONTH('Proposta 1 Via'!$G$10),DAY(Meses!$B$1))=Meses!A304,0,IF(Meses!A304&lt;'Proposta 1 Via'!$G$10,"",B303+1))</f>
        <v>141</v>
      </c>
    </row>
    <row r="305" spans="1:2" x14ac:dyDescent="0.2">
      <c r="A305" s="537">
        <v>48122</v>
      </c>
      <c r="B305" s="536">
        <f ca="1">+IF(DATE(YEAR('Proposta 1 Via'!$G$10),MONTH('Proposta 1 Via'!$G$10),DAY(Meses!$B$1))=Meses!A305,0,IF(Meses!A305&lt;'Proposta 1 Via'!$G$10,"",B304+1))</f>
        <v>142</v>
      </c>
    </row>
    <row r="306" spans="1:2" x14ac:dyDescent="0.2">
      <c r="A306" s="537">
        <v>48153</v>
      </c>
      <c r="B306" s="536">
        <f ca="1">+IF(DATE(YEAR('Proposta 1 Via'!$G$10),MONTH('Proposta 1 Via'!$G$10),DAY(Meses!$B$1))=Meses!A306,0,IF(Meses!A306&lt;'Proposta 1 Via'!$G$10,"",B305+1))</f>
        <v>143</v>
      </c>
    </row>
    <row r="307" spans="1:2" x14ac:dyDescent="0.2">
      <c r="A307" s="537">
        <v>48153</v>
      </c>
      <c r="B307" s="536">
        <f ca="1">+IF(DATE(YEAR('Proposta 1 Via'!$G$10),MONTH('Proposta 1 Via'!$G$10),DAY(Meses!$B$1))=Meses!A307,0,IF(Meses!A307&lt;'Proposta 1 Via'!$G$10,"",B306+1))</f>
        <v>144</v>
      </c>
    </row>
    <row r="308" spans="1:2" x14ac:dyDescent="0.2">
      <c r="A308" s="537"/>
    </row>
  </sheetData>
  <sheetProtection password="F3B1" sheet="1" objects="1" scenarios="1"/>
  <phoneticPr fontId="2" type="noConversion"/>
  <conditionalFormatting sqref="C1:C104 C106:C126 C128:C65536">
    <cfRule type="cellIs" dxfId="2" priority="1" stopIfTrue="1" operator="equal">
      <formula>"Chaves Contrato/Cliente"</formula>
    </cfRule>
    <cfRule type="cellIs" dxfId="1" priority="2" stopIfTrue="1" operator="equal">
      <formula>"Chaves"</formula>
    </cfRule>
    <cfRule type="cellIs" dxfId="0" priority="3" stopIfTrue="1" operator="equal">
      <formula>"Financiamento"</formula>
    </cfRule>
  </conditionalFormatting>
  <pageMargins left="0.75" right="0.75" top="1" bottom="1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7">
    <tabColor indexed="10"/>
    <pageSetUpPr fitToPage="1"/>
  </sheetPr>
  <dimension ref="A1:EG250"/>
  <sheetViews>
    <sheetView showGridLines="0" topLeftCell="P3" zoomScale="85" workbookViewId="0">
      <selection activeCell="Q16" sqref="Q16"/>
    </sheetView>
  </sheetViews>
  <sheetFormatPr defaultRowHeight="12.75" x14ac:dyDescent="0.2"/>
  <cols>
    <col min="1" max="1" width="18.7109375" style="4" customWidth="1"/>
    <col min="2" max="2" width="54.28515625" style="22" customWidth="1"/>
    <col min="3" max="3" width="9.28515625" style="22" customWidth="1"/>
    <col min="4" max="9" width="20.7109375" style="4" customWidth="1"/>
    <col min="10" max="10" width="5.140625" style="4" bestFit="1" customWidth="1"/>
    <col min="11" max="11" width="10.28515625" style="4" bestFit="1" customWidth="1"/>
    <col min="12" max="12" width="3.140625" style="4" bestFit="1" customWidth="1"/>
    <col min="13" max="13" width="5.140625" style="4" bestFit="1" customWidth="1"/>
    <col min="14" max="14" width="8.42578125" style="4" bestFit="1" customWidth="1"/>
    <col min="15" max="15" width="11.140625" style="4" bestFit="1" customWidth="1"/>
    <col min="16" max="16" width="71.5703125" style="14" bestFit="1" customWidth="1"/>
    <col min="17" max="17" width="16" style="14" bestFit="1" customWidth="1"/>
    <col min="18" max="18" width="16.42578125" style="14" bestFit="1" customWidth="1"/>
    <col min="19" max="19" width="10.42578125" style="4" customWidth="1"/>
    <col min="20" max="20" width="19.5703125" style="4" customWidth="1"/>
    <col min="21" max="21" width="73.5703125" style="14" bestFit="1" customWidth="1"/>
    <col min="22" max="23" width="19.5703125" style="14" customWidth="1"/>
    <col min="24" max="25" width="19.5703125" style="4" customWidth="1"/>
    <col min="26" max="26" width="28.42578125" style="14" customWidth="1"/>
    <col min="27" max="28" width="19.5703125" style="14" customWidth="1"/>
    <col min="29" max="30" width="19.5703125" style="4" customWidth="1"/>
    <col min="31" max="31" width="27.85546875" style="14" bestFit="1" customWidth="1"/>
    <col min="32" max="33" width="19.5703125" style="14" customWidth="1"/>
    <col min="34" max="35" width="19.5703125" style="4" customWidth="1"/>
    <col min="36" max="38" width="19.5703125" style="14" customWidth="1"/>
    <col min="39" max="40" width="19.5703125" style="4" customWidth="1"/>
    <col min="41" max="43" width="19.5703125" style="14" customWidth="1"/>
    <col min="44" max="45" width="19.5703125" style="4" customWidth="1"/>
    <col min="46" max="48" width="19.5703125" style="14" customWidth="1"/>
    <col min="49" max="50" width="19.5703125" style="4" customWidth="1"/>
    <col min="51" max="53" width="19.5703125" style="14" customWidth="1"/>
    <col min="54" max="55" width="19.5703125" style="4" customWidth="1"/>
    <col min="56" max="58" width="19.5703125" style="14" customWidth="1"/>
    <col min="59" max="60" width="19.5703125" style="4" customWidth="1"/>
    <col min="61" max="63" width="19.5703125" style="14" customWidth="1"/>
    <col min="64" max="65" width="19.5703125" style="4" customWidth="1"/>
    <col min="66" max="68" width="19.5703125" style="14" customWidth="1"/>
    <col min="69" max="70" width="19.5703125" style="4" customWidth="1"/>
    <col min="71" max="73" width="19.5703125" style="14" customWidth="1"/>
    <col min="74" max="75" width="19.5703125" style="4" customWidth="1"/>
    <col min="76" max="78" width="19.5703125" style="14" customWidth="1"/>
    <col min="79" max="80" width="19.5703125" style="4" customWidth="1"/>
    <col min="81" max="83" width="19.5703125" style="14" customWidth="1"/>
    <col min="84" max="85" width="19.5703125" style="4" customWidth="1"/>
    <col min="86" max="88" width="19.5703125" style="14" customWidth="1"/>
    <col min="89" max="89" width="19.5703125" style="4" customWidth="1"/>
    <col min="90" max="16384" width="9.140625" style="4"/>
  </cols>
  <sheetData>
    <row r="1" spans="1:137" hidden="1" x14ac:dyDescent="0.2">
      <c r="O1" s="4">
        <v>1</v>
      </c>
      <c r="P1" s="14">
        <v>2</v>
      </c>
      <c r="Q1" s="4">
        <v>3</v>
      </c>
      <c r="R1" s="4">
        <v>4</v>
      </c>
      <c r="S1" s="14">
        <v>5</v>
      </c>
      <c r="T1" s="4">
        <v>6</v>
      </c>
      <c r="U1" s="4">
        <v>7</v>
      </c>
      <c r="V1" s="14">
        <v>8</v>
      </c>
      <c r="W1" s="4">
        <v>9</v>
      </c>
      <c r="X1" s="4">
        <v>10</v>
      </c>
      <c r="Y1" s="14">
        <v>11</v>
      </c>
      <c r="Z1" s="4">
        <v>12</v>
      </c>
      <c r="AA1" s="4">
        <v>13</v>
      </c>
      <c r="AB1" s="14">
        <v>14</v>
      </c>
      <c r="AC1" s="4">
        <v>15</v>
      </c>
      <c r="AD1" s="4">
        <v>16</v>
      </c>
      <c r="AE1" s="14">
        <v>17</v>
      </c>
      <c r="AF1" s="4">
        <v>18</v>
      </c>
      <c r="AG1" s="4">
        <v>19</v>
      </c>
      <c r="AH1" s="14">
        <v>20</v>
      </c>
      <c r="AI1" s="4">
        <v>21</v>
      </c>
      <c r="AJ1" s="4">
        <v>22</v>
      </c>
      <c r="AK1" s="14">
        <v>23</v>
      </c>
      <c r="AL1" s="4">
        <v>24</v>
      </c>
      <c r="AM1" s="4">
        <v>25</v>
      </c>
      <c r="AN1" s="14">
        <v>26</v>
      </c>
      <c r="AO1" s="4">
        <v>27</v>
      </c>
      <c r="AP1" s="4">
        <v>28</v>
      </c>
      <c r="AQ1" s="14">
        <v>29</v>
      </c>
      <c r="AR1" s="4">
        <v>30</v>
      </c>
      <c r="AS1" s="4">
        <v>31</v>
      </c>
      <c r="AT1" s="14">
        <v>32</v>
      </c>
      <c r="AU1" s="4">
        <v>33</v>
      </c>
      <c r="AV1" s="4">
        <v>34</v>
      </c>
      <c r="AW1" s="14">
        <v>35</v>
      </c>
      <c r="AX1" s="4">
        <v>36</v>
      </c>
      <c r="AY1" s="4">
        <v>37</v>
      </c>
      <c r="AZ1" s="14">
        <v>38</v>
      </c>
      <c r="BA1" s="4">
        <v>39</v>
      </c>
      <c r="BB1" s="4">
        <v>40</v>
      </c>
      <c r="BC1" s="14">
        <v>41</v>
      </c>
      <c r="BD1" s="4">
        <v>42</v>
      </c>
      <c r="BE1" s="4">
        <v>43</v>
      </c>
      <c r="BF1" s="14">
        <v>44</v>
      </c>
      <c r="BG1" s="4">
        <v>45</v>
      </c>
      <c r="BH1" s="4">
        <v>46</v>
      </c>
      <c r="BI1" s="14">
        <v>47</v>
      </c>
      <c r="BJ1" s="4">
        <v>48</v>
      </c>
      <c r="BK1" s="4">
        <v>49</v>
      </c>
      <c r="BL1" s="14">
        <v>50</v>
      </c>
      <c r="BM1" s="4">
        <v>51</v>
      </c>
      <c r="BN1" s="4">
        <v>52</v>
      </c>
      <c r="BO1" s="14">
        <v>53</v>
      </c>
      <c r="BP1" s="4">
        <v>54</v>
      </c>
      <c r="BQ1" s="4">
        <v>55</v>
      </c>
      <c r="BR1" s="14">
        <v>56</v>
      </c>
      <c r="BS1" s="4">
        <v>57</v>
      </c>
      <c r="BT1" s="4">
        <v>58</v>
      </c>
      <c r="BU1" s="14">
        <v>59</v>
      </c>
      <c r="BV1" s="4">
        <v>60</v>
      </c>
      <c r="BW1" s="4">
        <v>61</v>
      </c>
      <c r="BX1" s="14">
        <v>62</v>
      </c>
      <c r="BY1" s="4">
        <v>63</v>
      </c>
      <c r="BZ1" s="4">
        <v>64</v>
      </c>
      <c r="CA1" s="14">
        <v>65</v>
      </c>
      <c r="CB1" s="4">
        <v>66</v>
      </c>
      <c r="CC1" s="4">
        <v>67</v>
      </c>
      <c r="CD1" s="14">
        <v>68</v>
      </c>
      <c r="CE1" s="4">
        <v>69</v>
      </c>
      <c r="CF1" s="4">
        <v>70</v>
      </c>
      <c r="CG1" s="14">
        <v>71</v>
      </c>
      <c r="CH1" s="4">
        <v>72</v>
      </c>
      <c r="CI1" s="4">
        <v>73</v>
      </c>
      <c r="CJ1" s="14">
        <v>74</v>
      </c>
      <c r="CK1" s="4">
        <v>75</v>
      </c>
      <c r="CL1" s="4">
        <v>76</v>
      </c>
      <c r="CM1" s="14">
        <v>77</v>
      </c>
      <c r="CN1" s="4">
        <v>78</v>
      </c>
      <c r="CO1" s="4">
        <v>79</v>
      </c>
      <c r="CP1" s="14">
        <v>80</v>
      </c>
      <c r="CQ1" s="4">
        <v>81</v>
      </c>
      <c r="CR1" s="4">
        <v>82</v>
      </c>
      <c r="CS1" s="14">
        <v>83</v>
      </c>
      <c r="CT1" s="4">
        <v>84</v>
      </c>
      <c r="CU1" s="4">
        <v>85</v>
      </c>
      <c r="CV1" s="14">
        <v>86</v>
      </c>
      <c r="CW1" s="4">
        <v>87</v>
      </c>
      <c r="CX1" s="4">
        <v>88</v>
      </c>
      <c r="CY1" s="14">
        <v>89</v>
      </c>
      <c r="CZ1" s="4">
        <v>90</v>
      </c>
      <c r="DA1" s="4">
        <v>91</v>
      </c>
      <c r="DB1" s="14">
        <v>92</v>
      </c>
      <c r="DC1" s="4">
        <v>93</v>
      </c>
      <c r="DD1" s="4">
        <v>94</v>
      </c>
      <c r="DE1" s="14">
        <v>95</v>
      </c>
      <c r="DF1" s="14">
        <v>96</v>
      </c>
      <c r="DG1" s="4">
        <v>97</v>
      </c>
      <c r="DH1" s="14">
        <v>98</v>
      </c>
      <c r="DI1" s="4">
        <v>99</v>
      </c>
      <c r="DJ1" s="14">
        <v>100</v>
      </c>
      <c r="DK1" s="4">
        <v>101</v>
      </c>
      <c r="DL1" s="14">
        <v>102</v>
      </c>
      <c r="DM1" s="4">
        <v>103</v>
      </c>
      <c r="DN1" s="14">
        <v>104</v>
      </c>
      <c r="DO1" s="4">
        <v>105</v>
      </c>
      <c r="DP1" s="14">
        <v>106</v>
      </c>
      <c r="DQ1" s="4">
        <v>107</v>
      </c>
      <c r="DR1" s="14">
        <v>108</v>
      </c>
      <c r="DS1" s="4">
        <v>109</v>
      </c>
      <c r="DT1" s="14">
        <v>110</v>
      </c>
      <c r="DU1" s="4">
        <v>111</v>
      </c>
      <c r="DV1" s="14">
        <v>112</v>
      </c>
      <c r="DW1" s="4">
        <v>113</v>
      </c>
      <c r="DX1" s="14">
        <v>114</v>
      </c>
      <c r="DY1" s="4">
        <v>115</v>
      </c>
      <c r="DZ1" s="14">
        <v>116</v>
      </c>
      <c r="EA1" s="4">
        <v>117</v>
      </c>
      <c r="EB1" s="14">
        <v>118</v>
      </c>
      <c r="EC1" s="4">
        <v>119</v>
      </c>
      <c r="ED1" s="14">
        <v>120</v>
      </c>
      <c r="EE1" s="4">
        <v>121</v>
      </c>
      <c r="EF1" s="14">
        <v>122</v>
      </c>
      <c r="EG1" s="4">
        <v>123</v>
      </c>
    </row>
    <row r="2" spans="1:137" ht="13.5" hidden="1" thickBot="1" x14ac:dyDescent="0.25"/>
    <row r="3" spans="1:137" ht="21.75" customHeight="1" x14ac:dyDescent="0.2">
      <c r="O3" s="1111" t="s">
        <v>244</v>
      </c>
      <c r="P3" s="1112"/>
      <c r="Q3" s="1112"/>
      <c r="R3" s="1112"/>
      <c r="S3" s="331"/>
      <c r="T3" s="1111" t="s">
        <v>245</v>
      </c>
      <c r="U3" s="1112"/>
      <c r="V3" s="1112"/>
      <c r="W3" s="1112"/>
      <c r="X3" s="331"/>
      <c r="Y3" s="1111" t="s">
        <v>246</v>
      </c>
      <c r="Z3" s="1112"/>
      <c r="AA3" s="1112"/>
      <c r="AB3" s="1112"/>
      <c r="AC3" s="331"/>
      <c r="AD3" s="1111" t="s">
        <v>247</v>
      </c>
      <c r="AE3" s="1112"/>
      <c r="AF3" s="1112"/>
      <c r="AG3" s="1112"/>
      <c r="AH3" s="331"/>
      <c r="AI3" s="1111" t="s">
        <v>248</v>
      </c>
      <c r="AJ3" s="1112"/>
      <c r="AK3" s="1112"/>
      <c r="AL3" s="1112"/>
      <c r="AM3" s="331"/>
      <c r="AN3" s="1111" t="s">
        <v>249</v>
      </c>
      <c r="AO3" s="1112"/>
      <c r="AP3" s="1112"/>
      <c r="AQ3" s="1112"/>
      <c r="AR3" s="331"/>
      <c r="AS3" s="1111" t="s">
        <v>250</v>
      </c>
      <c r="AT3" s="1112"/>
      <c r="AU3" s="1112"/>
      <c r="AV3" s="1112"/>
      <c r="AW3" s="331"/>
      <c r="AX3" s="1111" t="s">
        <v>251</v>
      </c>
      <c r="AY3" s="1112"/>
      <c r="AZ3" s="1112"/>
      <c r="BA3" s="1112"/>
      <c r="BB3" s="331"/>
      <c r="BC3" s="1111" t="s">
        <v>252</v>
      </c>
      <c r="BD3" s="1112"/>
      <c r="BE3" s="1112"/>
      <c r="BF3" s="1112"/>
      <c r="BG3" s="331"/>
      <c r="BH3" s="1111" t="s">
        <v>253</v>
      </c>
      <c r="BI3" s="1112"/>
      <c r="BJ3" s="1112"/>
      <c r="BK3" s="1112"/>
      <c r="BL3" s="331"/>
      <c r="BM3" s="1111" t="s">
        <v>254</v>
      </c>
      <c r="BN3" s="1112"/>
      <c r="BO3" s="1112"/>
      <c r="BP3" s="1112"/>
      <c r="BQ3" s="331"/>
      <c r="BR3" s="1111" t="s">
        <v>255</v>
      </c>
      <c r="BS3" s="1112"/>
      <c r="BT3" s="1112"/>
      <c r="BU3" s="1112"/>
      <c r="BV3" s="331"/>
      <c r="BW3" s="1111" t="s">
        <v>256</v>
      </c>
      <c r="BX3" s="1112"/>
      <c r="BY3" s="1112"/>
      <c r="BZ3" s="1112"/>
      <c r="CA3" s="331"/>
      <c r="CB3" s="1111" t="s">
        <v>257</v>
      </c>
      <c r="CC3" s="1112"/>
      <c r="CD3" s="1112"/>
      <c r="CE3" s="1112"/>
      <c r="CF3" s="331"/>
      <c r="CG3" s="1111"/>
      <c r="CH3" s="1112"/>
      <c r="CI3" s="1112"/>
      <c r="CJ3" s="1113"/>
    </row>
    <row r="4" spans="1:137" ht="21" customHeight="1" x14ac:dyDescent="0.2">
      <c r="O4" s="384" t="s">
        <v>555</v>
      </c>
      <c r="P4" s="359"/>
      <c r="Q4" s="359"/>
      <c r="R4" s="359"/>
      <c r="S4" s="332"/>
      <c r="T4" s="384" t="s">
        <v>307</v>
      </c>
      <c r="U4" s="370"/>
      <c r="V4" s="370"/>
      <c r="W4" s="370"/>
      <c r="X4" s="332"/>
      <c r="Y4" s="384"/>
      <c r="Z4" s="402"/>
      <c r="AA4" s="402"/>
      <c r="AB4" s="402"/>
      <c r="AC4" s="332"/>
      <c r="AD4" s="384"/>
      <c r="AE4" s="402"/>
      <c r="AF4" s="402"/>
      <c r="AG4" s="402"/>
      <c r="AH4" s="332"/>
      <c r="AI4" s="384"/>
      <c r="AJ4" s="402"/>
      <c r="AK4" s="402"/>
      <c r="AL4" s="402"/>
      <c r="AM4" s="332"/>
      <c r="AN4" s="384"/>
      <c r="AO4" s="26"/>
      <c r="AP4" s="26"/>
      <c r="AQ4" s="26"/>
      <c r="AR4" s="332"/>
      <c r="AS4" s="384"/>
      <c r="AT4" s="26"/>
      <c r="AU4" s="26"/>
      <c r="AV4" s="26"/>
      <c r="AW4" s="332"/>
      <c r="AX4" s="313"/>
      <c r="AY4" s="26"/>
      <c r="AZ4" s="26"/>
      <c r="BA4" s="26"/>
      <c r="BB4" s="332"/>
      <c r="BC4" s="313"/>
      <c r="BD4" s="26"/>
      <c r="BE4" s="26"/>
      <c r="BF4" s="26"/>
      <c r="BG4" s="332"/>
      <c r="BH4" s="313"/>
      <c r="BI4" s="26"/>
      <c r="BJ4" s="26"/>
      <c r="BK4" s="26"/>
      <c r="BL4" s="332"/>
      <c r="BM4" s="313"/>
      <c r="BN4" s="26"/>
      <c r="BO4" s="26"/>
      <c r="BP4" s="26"/>
      <c r="BQ4" s="332"/>
      <c r="BR4" s="313"/>
      <c r="BS4" s="26"/>
      <c r="BT4" s="26"/>
      <c r="BU4" s="26"/>
      <c r="BV4" s="332"/>
      <c r="BW4" s="313"/>
      <c r="BX4" s="26"/>
      <c r="BY4" s="26"/>
      <c r="BZ4" s="26"/>
      <c r="CA4" s="332"/>
      <c r="CB4" s="313"/>
      <c r="CC4" s="26"/>
      <c r="CD4" s="26"/>
      <c r="CE4" s="26"/>
      <c r="CF4" s="332"/>
      <c r="CG4" s="18"/>
      <c r="CH4" s="26"/>
      <c r="CI4" s="26"/>
      <c r="CJ4" s="38"/>
    </row>
    <row r="5" spans="1:137" ht="21" customHeight="1" x14ac:dyDescent="0.2">
      <c r="O5" s="18"/>
      <c r="P5" s="26"/>
      <c r="Q5" s="26"/>
      <c r="R5" s="26"/>
      <c r="S5" s="332"/>
      <c r="T5" s="18"/>
      <c r="U5" s="26"/>
      <c r="V5" s="26"/>
      <c r="W5" s="26"/>
      <c r="X5" s="332"/>
      <c r="Y5" s="18"/>
      <c r="Z5" s="26"/>
      <c r="AA5" s="26"/>
      <c r="AB5" s="26"/>
      <c r="AC5" s="332"/>
      <c r="AD5" s="18"/>
      <c r="AE5" s="26"/>
      <c r="AF5" s="26"/>
      <c r="AG5" s="26"/>
      <c r="AH5" s="332"/>
      <c r="AI5" s="18"/>
      <c r="AJ5" s="26"/>
      <c r="AK5" s="26"/>
      <c r="AL5" s="26"/>
      <c r="AM5" s="332"/>
      <c r="AN5" s="18"/>
      <c r="AO5" s="26"/>
      <c r="AP5" s="26"/>
      <c r="AQ5" s="26"/>
      <c r="AR5" s="332"/>
      <c r="AS5" s="18"/>
      <c r="AT5" s="26"/>
      <c r="AU5" s="26"/>
      <c r="AV5" s="26"/>
      <c r="AW5" s="332"/>
      <c r="AX5" s="18"/>
      <c r="AY5" s="26"/>
      <c r="AZ5" s="26"/>
      <c r="BA5" s="26"/>
      <c r="BB5" s="332"/>
      <c r="BC5" s="18"/>
      <c r="BD5" s="26"/>
      <c r="BE5" s="26"/>
      <c r="BF5" s="26"/>
      <c r="BG5" s="332"/>
      <c r="BH5" s="18"/>
      <c r="BI5" s="26"/>
      <c r="BJ5" s="26"/>
      <c r="BK5" s="26"/>
      <c r="BL5" s="332"/>
      <c r="BM5" s="18"/>
      <c r="BN5" s="26"/>
      <c r="BO5" s="26"/>
      <c r="BP5" s="26"/>
      <c r="BQ5" s="332"/>
      <c r="BR5" s="18"/>
      <c r="BS5" s="26"/>
      <c r="BT5" s="26"/>
      <c r="BU5" s="26"/>
      <c r="BV5" s="332"/>
      <c r="BW5" s="18"/>
      <c r="BX5" s="26"/>
      <c r="BY5" s="26"/>
      <c r="BZ5" s="26"/>
      <c r="CA5" s="332"/>
      <c r="CB5" s="18"/>
      <c r="CC5" s="26"/>
      <c r="CD5" s="26"/>
      <c r="CE5" s="26"/>
      <c r="CF5" s="332"/>
      <c r="CG5" s="37"/>
      <c r="CH5" s="12"/>
      <c r="CI5" s="12"/>
      <c r="CJ5" s="50"/>
    </row>
    <row r="6" spans="1:137" ht="21" customHeight="1" x14ac:dyDescent="0.2">
      <c r="C6" s="22">
        <v>1</v>
      </c>
      <c r="D6" s="4">
        <v>2</v>
      </c>
      <c r="E6" s="22">
        <v>3</v>
      </c>
      <c r="F6" s="4">
        <v>4</v>
      </c>
      <c r="G6" s="22">
        <v>5</v>
      </c>
      <c r="H6" s="4">
        <v>6</v>
      </c>
      <c r="I6" s="22">
        <v>7</v>
      </c>
      <c r="J6" s="4">
        <v>8</v>
      </c>
      <c r="K6" s="22">
        <v>9</v>
      </c>
      <c r="L6" s="4">
        <v>10</v>
      </c>
      <c r="M6" s="22">
        <v>11</v>
      </c>
      <c r="N6" s="4">
        <v>12</v>
      </c>
      <c r="O6" s="1103" t="s">
        <v>154</v>
      </c>
      <c r="P6" s="1104"/>
      <c r="Q6" s="1104"/>
      <c r="R6" s="1104"/>
      <c r="S6" s="332"/>
      <c r="T6" s="1103" t="s">
        <v>154</v>
      </c>
      <c r="U6" s="1104"/>
      <c r="V6" s="1104"/>
      <c r="W6" s="1104"/>
      <c r="X6" s="332"/>
      <c r="Y6" s="1103" t="s">
        <v>154</v>
      </c>
      <c r="Z6" s="1104"/>
      <c r="AA6" s="1104"/>
      <c r="AB6" s="1104"/>
      <c r="AC6" s="332"/>
      <c r="AD6" s="1103" t="s">
        <v>154</v>
      </c>
      <c r="AE6" s="1104"/>
      <c r="AF6" s="1104"/>
      <c r="AG6" s="1104"/>
      <c r="AH6" s="332"/>
      <c r="AI6" s="1103" t="s">
        <v>154</v>
      </c>
      <c r="AJ6" s="1104"/>
      <c r="AK6" s="1104"/>
      <c r="AL6" s="1104"/>
      <c r="AM6" s="332"/>
      <c r="AN6" s="1103" t="s">
        <v>154</v>
      </c>
      <c r="AO6" s="1104"/>
      <c r="AP6" s="1104"/>
      <c r="AQ6" s="1104"/>
      <c r="AR6" s="332"/>
      <c r="AS6" s="1103" t="s">
        <v>154</v>
      </c>
      <c r="AT6" s="1104"/>
      <c r="AU6" s="1104"/>
      <c r="AV6" s="1104"/>
      <c r="AW6" s="332"/>
      <c r="AX6" s="1103" t="s">
        <v>154</v>
      </c>
      <c r="AY6" s="1104"/>
      <c r="AZ6" s="1104"/>
      <c r="BA6" s="1104"/>
      <c r="BB6" s="332"/>
      <c r="BC6" s="1103" t="s">
        <v>154</v>
      </c>
      <c r="BD6" s="1104"/>
      <c r="BE6" s="1104"/>
      <c r="BF6" s="1104"/>
      <c r="BG6" s="332"/>
      <c r="BH6" s="1103" t="s">
        <v>154</v>
      </c>
      <c r="BI6" s="1104"/>
      <c r="BJ6" s="1104"/>
      <c r="BK6" s="1104"/>
      <c r="BL6" s="332"/>
      <c r="BM6" s="1103" t="s">
        <v>154</v>
      </c>
      <c r="BN6" s="1104"/>
      <c r="BO6" s="1104"/>
      <c r="BP6" s="1104"/>
      <c r="BQ6" s="332"/>
      <c r="BR6" s="1103" t="s">
        <v>154</v>
      </c>
      <c r="BS6" s="1104"/>
      <c r="BT6" s="1104"/>
      <c r="BU6" s="1104"/>
      <c r="BV6" s="332"/>
      <c r="BW6" s="1103" t="s">
        <v>154</v>
      </c>
      <c r="BX6" s="1104"/>
      <c r="BY6" s="1104"/>
      <c r="BZ6" s="1104"/>
      <c r="CA6" s="332"/>
      <c r="CB6" s="1103" t="s">
        <v>154</v>
      </c>
      <c r="CC6" s="1104"/>
      <c r="CD6" s="1104"/>
      <c r="CE6" s="1104"/>
      <c r="CF6" s="332"/>
      <c r="CG6" s="1108"/>
      <c r="CH6" s="1109"/>
      <c r="CI6" s="1109"/>
      <c r="CJ6" s="1110"/>
    </row>
    <row r="7" spans="1:137" ht="21" customHeight="1" x14ac:dyDescent="0.2">
      <c r="A7" s="4">
        <v>1</v>
      </c>
      <c r="B7" s="22">
        <v>2</v>
      </c>
      <c r="C7" s="4">
        <v>3</v>
      </c>
      <c r="D7" s="22">
        <v>4</v>
      </c>
      <c r="E7" s="4">
        <v>5</v>
      </c>
      <c r="F7" s="22">
        <v>6</v>
      </c>
      <c r="G7" s="4">
        <v>7</v>
      </c>
      <c r="H7" s="22">
        <v>8</v>
      </c>
      <c r="I7" s="4">
        <v>9</v>
      </c>
      <c r="J7" s="22">
        <v>10</v>
      </c>
      <c r="K7" s="4">
        <v>11</v>
      </c>
      <c r="L7" s="4">
        <v>12</v>
      </c>
      <c r="O7" s="1101">
        <v>240000</v>
      </c>
      <c r="P7" s="1102"/>
      <c r="Q7" s="1102"/>
      <c r="R7" s="1102"/>
      <c r="S7" s="333"/>
      <c r="T7" s="1101">
        <v>250000</v>
      </c>
      <c r="U7" s="1102"/>
      <c r="V7" s="1102"/>
      <c r="W7" s="1102"/>
      <c r="X7" s="333"/>
      <c r="Y7" s="1101">
        <v>190000</v>
      </c>
      <c r="Z7" s="1102"/>
      <c r="AA7" s="1102"/>
      <c r="AB7" s="1102"/>
      <c r="AC7" s="333"/>
      <c r="AD7" s="1101">
        <v>190000</v>
      </c>
      <c r="AE7" s="1102"/>
      <c r="AF7" s="1102"/>
      <c r="AG7" s="1102"/>
      <c r="AH7" s="333"/>
      <c r="AI7" s="1101">
        <v>170000</v>
      </c>
      <c r="AJ7" s="1102"/>
      <c r="AK7" s="1102"/>
      <c r="AL7" s="1102"/>
      <c r="AM7" s="333"/>
      <c r="AN7" s="1101">
        <v>170000</v>
      </c>
      <c r="AO7" s="1102"/>
      <c r="AP7" s="1102"/>
      <c r="AQ7" s="1102"/>
      <c r="AR7" s="333"/>
      <c r="AS7" s="1101">
        <v>170000</v>
      </c>
      <c r="AT7" s="1102"/>
      <c r="AU7" s="1102"/>
      <c r="AV7" s="1102"/>
      <c r="AW7" s="333"/>
      <c r="AX7" s="1101">
        <v>130000</v>
      </c>
      <c r="AY7" s="1102"/>
      <c r="AZ7" s="1102"/>
      <c r="BA7" s="1102"/>
      <c r="BB7" s="333"/>
      <c r="BC7" s="1101">
        <v>130000</v>
      </c>
      <c r="BD7" s="1102"/>
      <c r="BE7" s="1102"/>
      <c r="BF7" s="1102"/>
      <c r="BG7" s="333"/>
      <c r="BH7" s="1101">
        <v>130000</v>
      </c>
      <c r="BI7" s="1102"/>
      <c r="BJ7" s="1102"/>
      <c r="BK7" s="1102"/>
      <c r="BL7" s="333"/>
      <c r="BM7" s="1101">
        <v>130000</v>
      </c>
      <c r="BN7" s="1102"/>
      <c r="BO7" s="1102"/>
      <c r="BP7" s="1102"/>
      <c r="BQ7" s="333"/>
      <c r="BR7" s="1101">
        <v>130000</v>
      </c>
      <c r="BS7" s="1102"/>
      <c r="BT7" s="1102"/>
      <c r="BU7" s="1102"/>
      <c r="BV7" s="333"/>
      <c r="BW7" s="1101">
        <v>130000</v>
      </c>
      <c r="BX7" s="1102"/>
      <c r="BY7" s="1102"/>
      <c r="BZ7" s="1102"/>
      <c r="CA7" s="333"/>
      <c r="CB7" s="1101">
        <v>130000</v>
      </c>
      <c r="CC7" s="1102"/>
      <c r="CD7" s="1102"/>
      <c r="CE7" s="1102"/>
      <c r="CF7" s="333"/>
      <c r="CG7" s="1105"/>
      <c r="CH7" s="1106"/>
      <c r="CI7" s="1106"/>
      <c r="CJ7" s="1107"/>
    </row>
    <row r="8" spans="1:137" ht="11.25" customHeight="1" x14ac:dyDescent="0.2">
      <c r="A8" s="1099" t="s">
        <v>148</v>
      </c>
      <c r="B8" s="1099"/>
      <c r="C8" s="1099"/>
      <c r="D8" s="79" t="s">
        <v>14</v>
      </c>
      <c r="E8" s="79"/>
      <c r="F8" s="79" t="s">
        <v>142</v>
      </c>
      <c r="G8" s="79"/>
      <c r="H8" s="79"/>
      <c r="I8" s="80"/>
      <c r="J8" s="1100" t="str">
        <f>P9</f>
        <v>Prazo Para Chaves</v>
      </c>
      <c r="K8" s="1100" t="s">
        <v>171</v>
      </c>
      <c r="L8" s="80" t="s">
        <v>18</v>
      </c>
      <c r="M8" s="80" t="s">
        <v>177</v>
      </c>
      <c r="N8" s="324" t="s">
        <v>18</v>
      </c>
      <c r="O8" s="37"/>
      <c r="P8" s="39"/>
      <c r="Q8" s="39"/>
      <c r="R8" s="39"/>
      <c r="S8" s="50"/>
      <c r="T8" s="37"/>
      <c r="U8" s="39"/>
      <c r="V8" s="39"/>
      <c r="W8" s="39"/>
      <c r="X8" s="50"/>
      <c r="Y8" s="37"/>
      <c r="Z8" s="39"/>
      <c r="AA8" s="39"/>
      <c r="AB8" s="39"/>
      <c r="AC8" s="50"/>
      <c r="AD8" s="37"/>
      <c r="AE8" s="39"/>
      <c r="AF8" s="39"/>
      <c r="AG8" s="39"/>
      <c r="AH8" s="50"/>
      <c r="AI8" s="37"/>
      <c r="AJ8" s="39"/>
      <c r="AK8" s="39"/>
      <c r="AL8" s="39"/>
      <c r="AM8" s="50"/>
      <c r="AN8" s="37"/>
      <c r="AO8" s="39"/>
      <c r="AP8" s="39"/>
      <c r="AQ8" s="39"/>
      <c r="AR8" s="50"/>
      <c r="AS8" s="37"/>
      <c r="AT8" s="39"/>
      <c r="AU8" s="39"/>
      <c r="AV8" s="39"/>
      <c r="AW8" s="50"/>
      <c r="AX8" s="37"/>
      <c r="AY8" s="39"/>
      <c r="AZ8" s="39"/>
      <c r="BA8" s="39"/>
      <c r="BB8" s="50"/>
      <c r="BC8" s="37"/>
      <c r="BD8" s="39"/>
      <c r="BE8" s="39"/>
      <c r="BF8" s="39"/>
      <c r="BG8" s="50"/>
      <c r="BH8" s="37"/>
      <c r="BI8" s="39"/>
      <c r="BJ8" s="39"/>
      <c r="BK8" s="39"/>
      <c r="BL8" s="50"/>
      <c r="BM8" s="37"/>
      <c r="BN8" s="39"/>
      <c r="BO8" s="39"/>
      <c r="BP8" s="39"/>
      <c r="BQ8" s="50"/>
      <c r="BR8" s="37"/>
      <c r="BS8" s="39"/>
      <c r="BT8" s="39"/>
      <c r="BU8" s="39"/>
      <c r="BV8" s="50"/>
      <c r="BW8" s="37"/>
      <c r="BX8" s="39"/>
      <c r="BY8" s="39"/>
      <c r="BZ8" s="39"/>
      <c r="CA8" s="50"/>
      <c r="CB8" s="37"/>
      <c r="CC8" s="39"/>
      <c r="CD8" s="39"/>
      <c r="CE8" s="39"/>
      <c r="CF8" s="50"/>
      <c r="CG8" s="37"/>
      <c r="CH8" s="39"/>
      <c r="CI8" s="39"/>
      <c r="CJ8" s="40"/>
    </row>
    <row r="9" spans="1:137" ht="25.5" x14ac:dyDescent="0.2">
      <c r="A9" s="1099"/>
      <c r="B9" s="1099"/>
      <c r="C9" s="1099"/>
      <c r="D9" s="79" t="s">
        <v>167</v>
      </c>
      <c r="E9" s="79" t="s">
        <v>168</v>
      </c>
      <c r="F9" s="79" t="s">
        <v>139</v>
      </c>
      <c r="G9" s="79" t="s">
        <v>140</v>
      </c>
      <c r="H9" s="79" t="s">
        <v>141</v>
      </c>
      <c r="I9" s="80" t="s">
        <v>156</v>
      </c>
      <c r="J9" s="1100"/>
      <c r="K9" s="1100"/>
      <c r="L9" s="80"/>
      <c r="M9" s="80"/>
      <c r="N9" s="324"/>
      <c r="O9" s="37"/>
      <c r="P9" s="339" t="s">
        <v>243</v>
      </c>
      <c r="Q9" s="19" t="s">
        <v>170</v>
      </c>
      <c r="R9" s="322"/>
      <c r="S9" s="50"/>
      <c r="T9" s="37"/>
      <c r="U9" s="339" t="s">
        <v>243</v>
      </c>
      <c r="V9" s="19" t="s">
        <v>170</v>
      </c>
      <c r="W9" s="322"/>
      <c r="X9" s="50"/>
      <c r="Y9" s="37"/>
      <c r="Z9" s="339" t="s">
        <v>243</v>
      </c>
      <c r="AA9" s="19" t="s">
        <v>170</v>
      </c>
      <c r="AB9" s="322"/>
      <c r="AC9" s="50"/>
      <c r="AD9" s="37"/>
      <c r="AE9" s="339" t="s">
        <v>243</v>
      </c>
      <c r="AF9" s="19" t="s">
        <v>170</v>
      </c>
      <c r="AG9" s="322"/>
      <c r="AH9" s="50"/>
      <c r="AI9" s="37"/>
      <c r="AJ9" s="339" t="s">
        <v>243</v>
      </c>
      <c r="AK9" s="19" t="s">
        <v>170</v>
      </c>
      <c r="AL9" s="322"/>
      <c r="AM9" s="50"/>
      <c r="AN9" s="37"/>
      <c r="AO9" s="339" t="s">
        <v>243</v>
      </c>
      <c r="AP9" s="19" t="s">
        <v>170</v>
      </c>
      <c r="AQ9" s="322"/>
      <c r="AR9" s="50"/>
      <c r="AS9" s="37"/>
      <c r="AT9" s="339" t="s">
        <v>243</v>
      </c>
      <c r="AU9" s="19" t="s">
        <v>170</v>
      </c>
      <c r="AV9" s="322"/>
      <c r="AW9" s="50"/>
      <c r="AX9" s="37"/>
      <c r="AY9" s="339" t="s">
        <v>243</v>
      </c>
      <c r="AZ9" s="19" t="s">
        <v>170</v>
      </c>
      <c r="BA9" s="322"/>
      <c r="BB9" s="50"/>
      <c r="BC9" s="37"/>
      <c r="BD9" s="339" t="s">
        <v>243</v>
      </c>
      <c r="BE9" s="19" t="s">
        <v>170</v>
      </c>
      <c r="BF9" s="322"/>
      <c r="BG9" s="50"/>
      <c r="BH9" s="37"/>
      <c r="BI9" s="339" t="s">
        <v>243</v>
      </c>
      <c r="BJ9" s="19" t="s">
        <v>170</v>
      </c>
      <c r="BK9" s="322"/>
      <c r="BL9" s="50"/>
      <c r="BM9" s="37"/>
      <c r="BN9" s="339" t="s">
        <v>243</v>
      </c>
      <c r="BO9" s="19" t="s">
        <v>170</v>
      </c>
      <c r="BP9" s="322"/>
      <c r="BQ9" s="50"/>
      <c r="BR9" s="37"/>
      <c r="BS9" s="339" t="s">
        <v>243</v>
      </c>
      <c r="BT9" s="19" t="s">
        <v>170</v>
      </c>
      <c r="BU9" s="322"/>
      <c r="BV9" s="50"/>
      <c r="BW9" s="37"/>
      <c r="BX9" s="339" t="s">
        <v>243</v>
      </c>
      <c r="BY9" s="19" t="s">
        <v>170</v>
      </c>
      <c r="BZ9" s="322"/>
      <c r="CA9" s="50"/>
      <c r="CB9" s="37"/>
      <c r="CC9" s="339" t="s">
        <v>169</v>
      </c>
      <c r="CD9" s="19" t="s">
        <v>170</v>
      </c>
      <c r="CE9" s="322"/>
      <c r="CF9" s="50"/>
      <c r="CG9" s="37"/>
      <c r="CH9" s="20"/>
      <c r="CI9" s="21"/>
      <c r="CJ9" s="56"/>
    </row>
    <row r="10" spans="1:137" x14ac:dyDescent="0.2">
      <c r="A10" s="82">
        <v>1</v>
      </c>
      <c r="B10" s="83" t="str">
        <f>O4</f>
        <v>Rocha</v>
      </c>
      <c r="C10" s="82">
        <v>1</v>
      </c>
      <c r="D10" s="81">
        <v>3</v>
      </c>
      <c r="E10" s="81">
        <f>D10+1</f>
        <v>4</v>
      </c>
      <c r="F10" s="81">
        <v>2</v>
      </c>
      <c r="G10" s="81">
        <v>3</v>
      </c>
      <c r="H10" s="81">
        <f>4</f>
        <v>4</v>
      </c>
      <c r="I10" s="84">
        <f>O7</f>
        <v>240000</v>
      </c>
      <c r="J10" s="84">
        <f>P10</f>
        <v>38</v>
      </c>
      <c r="K10" s="85">
        <f>Q10</f>
        <v>43951</v>
      </c>
      <c r="L10" s="84"/>
      <c r="M10" s="84">
        <f>O14</f>
        <v>0</v>
      </c>
      <c r="N10" s="324">
        <v>5</v>
      </c>
      <c r="O10" s="37"/>
      <c r="P10" s="380">
        <v>38</v>
      </c>
      <c r="Q10" s="381">
        <v>43951</v>
      </c>
      <c r="R10" s="322"/>
      <c r="S10" s="325"/>
      <c r="T10" s="37"/>
      <c r="U10" s="380">
        <f>P10</f>
        <v>38</v>
      </c>
      <c r="V10" s="381">
        <f>Q10</f>
        <v>43951</v>
      </c>
      <c r="W10" s="322"/>
      <c r="X10" s="325"/>
      <c r="Y10" s="37"/>
      <c r="Z10" s="380"/>
      <c r="AA10" s="381"/>
      <c r="AB10" s="322"/>
      <c r="AC10" s="325"/>
      <c r="AD10" s="37"/>
      <c r="AE10" s="380"/>
      <c r="AF10" s="381"/>
      <c r="AG10" s="322"/>
      <c r="AH10" s="325"/>
      <c r="AI10" s="37"/>
      <c r="AJ10" s="380">
        <f>AE10</f>
        <v>0</v>
      </c>
      <c r="AK10" s="381"/>
      <c r="AL10" s="322"/>
      <c r="AM10" s="325"/>
      <c r="AN10" s="37"/>
      <c r="AO10" s="314"/>
      <c r="AP10" s="315"/>
      <c r="AQ10" s="322"/>
      <c r="AR10" s="325"/>
      <c r="AS10" s="37"/>
      <c r="AT10" s="314"/>
      <c r="AU10" s="315"/>
      <c r="AV10" s="322"/>
      <c r="AW10" s="325"/>
      <c r="AX10" s="37"/>
      <c r="AY10" s="314"/>
      <c r="AZ10" s="315"/>
      <c r="BA10" s="322"/>
      <c r="BB10" s="325"/>
      <c r="BC10" s="37"/>
      <c r="BD10" s="314"/>
      <c r="BE10" s="315"/>
      <c r="BF10" s="322"/>
      <c r="BG10" s="325"/>
      <c r="BH10" s="37"/>
      <c r="BI10" s="314"/>
      <c r="BJ10" s="315"/>
      <c r="BK10" s="322"/>
      <c r="BL10" s="325"/>
      <c r="BM10" s="37"/>
      <c r="BN10" s="314"/>
      <c r="BO10" s="315"/>
      <c r="BP10" s="322"/>
      <c r="BQ10" s="325"/>
      <c r="BR10" s="37"/>
      <c r="BS10" s="314"/>
      <c r="BT10" s="315"/>
      <c r="BU10" s="322"/>
      <c r="BV10" s="325"/>
      <c r="BW10" s="37"/>
      <c r="BX10" s="314"/>
      <c r="BY10" s="315"/>
      <c r="BZ10" s="322"/>
      <c r="CA10" s="325"/>
      <c r="CB10" s="37"/>
      <c r="CC10" s="314"/>
      <c r="CD10" s="315"/>
      <c r="CE10" s="322"/>
      <c r="CF10" s="325"/>
      <c r="CG10" s="37"/>
      <c r="CH10" s="20"/>
      <c r="CI10" s="21"/>
      <c r="CJ10" s="13"/>
    </row>
    <row r="11" spans="1:137" ht="13.5" thickBot="1" x14ac:dyDescent="0.25">
      <c r="A11" s="82">
        <v>2</v>
      </c>
      <c r="B11" s="83" t="str">
        <f>T4</f>
        <v>DEZ VISTA ALEGRE - BLOCOS 1 e 2</v>
      </c>
      <c r="C11" s="82">
        <v>2</v>
      </c>
      <c r="D11" s="81">
        <f>D10+5</f>
        <v>8</v>
      </c>
      <c r="E11" s="81">
        <f t="shared" ref="E11:E23" si="0">D11+1</f>
        <v>9</v>
      </c>
      <c r="F11" s="81">
        <f>F10+5</f>
        <v>7</v>
      </c>
      <c r="G11" s="81">
        <f>G10+5</f>
        <v>8</v>
      </c>
      <c r="H11" s="81">
        <f>H10+5</f>
        <v>9</v>
      </c>
      <c r="I11" s="84">
        <f>T7</f>
        <v>250000</v>
      </c>
      <c r="J11" s="84">
        <f>U10</f>
        <v>38</v>
      </c>
      <c r="K11" s="85">
        <f>VP</f>
        <v>43951</v>
      </c>
      <c r="L11" s="84"/>
      <c r="M11" s="84">
        <f>W10</f>
        <v>0</v>
      </c>
      <c r="N11" s="324">
        <f>N10+5</f>
        <v>10</v>
      </c>
      <c r="O11" s="37"/>
      <c r="P11" s="39"/>
      <c r="Q11" s="321"/>
      <c r="R11" s="323"/>
      <c r="S11" s="325"/>
      <c r="T11" s="37"/>
      <c r="U11" s="39"/>
      <c r="V11" s="321"/>
      <c r="W11" s="323"/>
      <c r="X11" s="325"/>
      <c r="Y11" s="37"/>
      <c r="Z11" s="39"/>
      <c r="AA11" s="321"/>
      <c r="AB11" s="323"/>
      <c r="AC11" s="325"/>
      <c r="AD11" s="37"/>
      <c r="AE11" s="39"/>
      <c r="AF11" s="321"/>
      <c r="AG11" s="323"/>
      <c r="AH11" s="325"/>
      <c r="AI11" s="37"/>
      <c r="AJ11" s="39"/>
      <c r="AK11" s="321"/>
      <c r="AL11" s="323"/>
      <c r="AM11" s="325"/>
      <c r="AN11" s="37"/>
      <c r="AO11" s="39"/>
      <c r="AP11" s="321"/>
      <c r="AQ11" s="323"/>
      <c r="AR11" s="325"/>
      <c r="AS11" s="37"/>
      <c r="AT11" s="39"/>
      <c r="AU11" s="321"/>
      <c r="AV11" s="323"/>
      <c r="AW11" s="325"/>
      <c r="AX11" s="37"/>
      <c r="AY11" s="39"/>
      <c r="AZ11" s="321"/>
      <c r="BA11" s="323"/>
      <c r="BB11" s="325"/>
      <c r="BC11" s="37"/>
      <c r="BD11" s="39"/>
      <c r="BE11" s="321"/>
      <c r="BF11" s="323"/>
      <c r="BG11" s="325"/>
      <c r="BH11" s="37"/>
      <c r="BI11" s="39"/>
      <c r="BJ11" s="321"/>
      <c r="BK11" s="323"/>
      <c r="BL11" s="325"/>
      <c r="BM11" s="37"/>
      <c r="BN11" s="39"/>
      <c r="BO11" s="321"/>
      <c r="BP11" s="323"/>
      <c r="BQ11" s="325"/>
      <c r="BR11" s="37"/>
      <c r="BS11" s="39"/>
      <c r="BT11" s="321"/>
      <c r="BU11" s="323"/>
      <c r="BV11" s="325"/>
      <c r="BW11" s="37"/>
      <c r="BX11" s="39"/>
      <c r="BY11" s="321"/>
      <c r="BZ11" s="323"/>
      <c r="CA11" s="325"/>
      <c r="CB11" s="37"/>
      <c r="CC11" s="39"/>
      <c r="CD11" s="321"/>
      <c r="CE11" s="323"/>
      <c r="CF11" s="325"/>
      <c r="CG11" s="37"/>
      <c r="CH11" s="20"/>
      <c r="CI11" s="23"/>
      <c r="CJ11" s="56"/>
    </row>
    <row r="12" spans="1:137" ht="13.5" thickBot="1" x14ac:dyDescent="0.25">
      <c r="A12" s="82">
        <v>3</v>
      </c>
      <c r="B12" s="83">
        <f>Y4</f>
        <v>0</v>
      </c>
      <c r="C12" s="82">
        <v>3</v>
      </c>
      <c r="D12" s="81">
        <f t="shared" ref="D12:D23" si="1">D11+5</f>
        <v>13</v>
      </c>
      <c r="E12" s="81">
        <f t="shared" si="0"/>
        <v>14</v>
      </c>
      <c r="F12" s="81">
        <f t="shared" ref="F12:F23" si="2">F11+5</f>
        <v>12</v>
      </c>
      <c r="G12" s="81">
        <f t="shared" ref="G12:G23" si="3">G11+5</f>
        <v>13</v>
      </c>
      <c r="H12" s="81">
        <f t="shared" ref="H12:H23" si="4">H11+5</f>
        <v>14</v>
      </c>
      <c r="I12" s="84">
        <f>Y7</f>
        <v>190000</v>
      </c>
      <c r="J12" s="84">
        <f>Z10</f>
        <v>0</v>
      </c>
      <c r="K12" s="85">
        <f>AA10</f>
        <v>0</v>
      </c>
      <c r="L12" s="84"/>
      <c r="M12" s="84">
        <f>AB10</f>
        <v>0</v>
      </c>
      <c r="N12" s="324">
        <f>N11+5</f>
        <v>15</v>
      </c>
      <c r="O12" s="37"/>
      <c r="P12" s="554" t="s">
        <v>287</v>
      </c>
      <c r="Q12" s="321"/>
      <c r="R12" s="321"/>
      <c r="S12" s="325"/>
      <c r="T12" s="37"/>
      <c r="U12" s="554" t="s">
        <v>287</v>
      </c>
      <c r="V12" s="321"/>
      <c r="W12" s="321"/>
      <c r="X12" s="325"/>
      <c r="Y12" s="37"/>
      <c r="Z12" s="554" t="s">
        <v>287</v>
      </c>
      <c r="AA12" s="321"/>
      <c r="AB12" s="321"/>
      <c r="AC12" s="325"/>
      <c r="AD12" s="37"/>
      <c r="AE12" s="39"/>
      <c r="AF12" s="321"/>
      <c r="AG12" s="321"/>
      <c r="AH12" s="325"/>
      <c r="AI12" s="37"/>
      <c r="AJ12" s="39"/>
      <c r="AK12" s="321"/>
      <c r="AL12" s="321"/>
      <c r="AM12" s="325"/>
      <c r="AN12" s="37"/>
      <c r="AO12" s="39"/>
      <c r="AP12" s="321"/>
      <c r="AQ12" s="321"/>
      <c r="AR12" s="325"/>
      <c r="AS12" s="37"/>
      <c r="AT12" s="39"/>
      <c r="AU12" s="321"/>
      <c r="AV12" s="321"/>
      <c r="AW12" s="325"/>
      <c r="AX12" s="37"/>
      <c r="AY12" s="39"/>
      <c r="AZ12" s="321"/>
      <c r="BA12" s="321"/>
      <c r="BB12" s="325"/>
      <c r="BC12" s="37"/>
      <c r="BD12" s="39"/>
      <c r="BE12" s="321"/>
      <c r="BF12" s="321"/>
      <c r="BG12" s="325"/>
      <c r="BH12" s="37"/>
      <c r="BI12" s="39"/>
      <c r="BJ12" s="321"/>
      <c r="BK12" s="321"/>
      <c r="BL12" s="325"/>
      <c r="BM12" s="37"/>
      <c r="BN12" s="39"/>
      <c r="BO12" s="321"/>
      <c r="BP12" s="321"/>
      <c r="BQ12" s="325"/>
      <c r="BR12" s="37"/>
      <c r="BS12" s="39"/>
      <c r="BT12" s="321"/>
      <c r="BU12" s="321"/>
      <c r="BV12" s="325"/>
      <c r="BW12" s="37"/>
      <c r="BX12" s="39"/>
      <c r="BY12" s="321"/>
      <c r="BZ12" s="321"/>
      <c r="CA12" s="325"/>
      <c r="CB12" s="37"/>
      <c r="CC12" s="39"/>
      <c r="CD12" s="321"/>
      <c r="CE12" s="321"/>
      <c r="CF12" s="325"/>
      <c r="CG12" s="37"/>
      <c r="CH12" s="20"/>
      <c r="CI12" s="20"/>
      <c r="CJ12" s="73"/>
    </row>
    <row r="13" spans="1:137" ht="13.5" thickBot="1" x14ac:dyDescent="0.25">
      <c r="A13" s="82">
        <v>4</v>
      </c>
      <c r="B13" s="83">
        <f>AD4</f>
        <v>0</v>
      </c>
      <c r="C13" s="82">
        <v>4</v>
      </c>
      <c r="D13" s="81">
        <f t="shared" si="1"/>
        <v>18</v>
      </c>
      <c r="E13" s="81">
        <f t="shared" si="0"/>
        <v>19</v>
      </c>
      <c r="F13" s="81">
        <f t="shared" si="2"/>
        <v>17</v>
      </c>
      <c r="G13" s="81">
        <f t="shared" si="3"/>
        <v>18</v>
      </c>
      <c r="H13" s="81">
        <f t="shared" si="4"/>
        <v>19</v>
      </c>
      <c r="I13" s="84">
        <f>AD7</f>
        <v>190000</v>
      </c>
      <c r="J13" s="84">
        <f>AE10</f>
        <v>0</v>
      </c>
      <c r="K13" s="85">
        <f>AF10</f>
        <v>0</v>
      </c>
      <c r="L13" s="84"/>
      <c r="M13" s="84">
        <f>AG10</f>
        <v>0</v>
      </c>
      <c r="N13" s="324">
        <f>N12+5</f>
        <v>20</v>
      </c>
      <c r="O13" s="326"/>
      <c r="P13" s="555">
        <v>0</v>
      </c>
      <c r="Q13" s="39"/>
      <c r="R13" s="39"/>
      <c r="S13" s="325"/>
      <c r="T13" s="326"/>
      <c r="U13" s="555">
        <v>0</v>
      </c>
      <c r="V13" s="39"/>
      <c r="W13" s="39"/>
      <c r="X13" s="325"/>
      <c r="Y13" s="326"/>
      <c r="Z13" s="555">
        <v>0</v>
      </c>
      <c r="AA13" s="39"/>
      <c r="AB13" s="39"/>
      <c r="AC13" s="325"/>
      <c r="AD13" s="326"/>
      <c r="AE13" s="39"/>
      <c r="AF13" s="39"/>
      <c r="AG13" s="39"/>
      <c r="AH13" s="325"/>
      <c r="AI13" s="326"/>
      <c r="AJ13" s="39"/>
      <c r="AK13" s="39"/>
      <c r="AL13" s="39"/>
      <c r="AM13" s="325"/>
      <c r="AN13" s="326"/>
      <c r="AO13" s="39"/>
      <c r="AP13" s="39"/>
      <c r="AQ13" s="39"/>
      <c r="AR13" s="325"/>
      <c r="AS13" s="326"/>
      <c r="AT13" s="39"/>
      <c r="AU13" s="39"/>
      <c r="AV13" s="39"/>
      <c r="AW13" s="325"/>
      <c r="AX13" s="326"/>
      <c r="AY13" s="39"/>
      <c r="AZ13" s="39"/>
      <c r="BA13" s="39"/>
      <c r="BB13" s="325"/>
      <c r="BC13" s="326"/>
      <c r="BD13" s="39"/>
      <c r="BE13" s="39"/>
      <c r="BF13" s="39"/>
      <c r="BG13" s="325"/>
      <c r="BH13" s="326"/>
      <c r="BI13" s="39"/>
      <c r="BJ13" s="39"/>
      <c r="BK13" s="39"/>
      <c r="BL13" s="325"/>
      <c r="BM13" s="326"/>
      <c r="BN13" s="39"/>
      <c r="BO13" s="39"/>
      <c r="BP13" s="39"/>
      <c r="BQ13" s="325"/>
      <c r="BR13" s="326"/>
      <c r="BS13" s="39"/>
      <c r="BT13" s="39"/>
      <c r="BU13" s="39"/>
      <c r="BV13" s="325"/>
      <c r="BW13" s="326"/>
      <c r="BX13" s="39"/>
      <c r="BY13" s="39"/>
      <c r="BZ13" s="39"/>
      <c r="CA13" s="325"/>
      <c r="CB13" s="326"/>
      <c r="CC13" s="39"/>
      <c r="CD13" s="39"/>
      <c r="CE13" s="39"/>
      <c r="CF13" s="325"/>
      <c r="CG13" s="37"/>
      <c r="CH13" s="20"/>
      <c r="CI13" s="24"/>
      <c r="CJ13" s="40"/>
    </row>
    <row r="14" spans="1:137" ht="13.5" thickBot="1" x14ac:dyDescent="0.25">
      <c r="A14" s="82">
        <v>5</v>
      </c>
      <c r="B14" s="83">
        <f>AI4</f>
        <v>0</v>
      </c>
      <c r="C14" s="82">
        <v>5</v>
      </c>
      <c r="D14" s="81">
        <f t="shared" si="1"/>
        <v>23</v>
      </c>
      <c r="E14" s="81">
        <f t="shared" si="0"/>
        <v>24</v>
      </c>
      <c r="F14" s="81">
        <f t="shared" si="2"/>
        <v>22</v>
      </c>
      <c r="G14" s="81">
        <f t="shared" si="3"/>
        <v>23</v>
      </c>
      <c r="H14" s="81">
        <f t="shared" si="4"/>
        <v>24</v>
      </c>
      <c r="I14" s="84">
        <f>AI7</f>
        <v>170000</v>
      </c>
      <c r="J14" s="84">
        <f>AJ10</f>
        <v>0</v>
      </c>
      <c r="K14" s="85">
        <f>AK10</f>
        <v>0</v>
      </c>
      <c r="L14" s="84"/>
      <c r="M14" s="84">
        <f>AL10</f>
        <v>0</v>
      </c>
      <c r="N14" s="324">
        <f t="shared" ref="N14:N23" si="5">N13+5</f>
        <v>25</v>
      </c>
      <c r="O14" s="327"/>
      <c r="P14" s="39"/>
      <c r="Q14" s="39"/>
      <c r="R14" s="39"/>
      <c r="S14" s="325"/>
      <c r="T14" s="327"/>
      <c r="U14" s="39"/>
      <c r="V14" s="39"/>
      <c r="W14" s="39"/>
      <c r="X14" s="325"/>
      <c r="Y14" s="327"/>
      <c r="Z14" s="39"/>
      <c r="AA14" s="39"/>
      <c r="AB14" s="39"/>
      <c r="AC14" s="325"/>
      <c r="AD14" s="327"/>
      <c r="AE14" s="39"/>
      <c r="AF14" s="39"/>
      <c r="AG14" s="39"/>
      <c r="AH14" s="325"/>
      <c r="AI14" s="327"/>
      <c r="AJ14" s="39"/>
      <c r="AK14" s="39"/>
      <c r="AL14" s="39"/>
      <c r="AM14" s="325"/>
      <c r="AN14" s="327"/>
      <c r="AO14" s="39"/>
      <c r="AP14" s="39"/>
      <c r="AQ14" s="39"/>
      <c r="AR14" s="325"/>
      <c r="AS14" s="327"/>
      <c r="AT14" s="39"/>
      <c r="AU14" s="39"/>
      <c r="AV14" s="39"/>
      <c r="AW14" s="325"/>
      <c r="AX14" s="327"/>
      <c r="AY14" s="39"/>
      <c r="AZ14" s="39"/>
      <c r="BA14" s="39"/>
      <c r="BB14" s="325"/>
      <c r="BC14" s="327"/>
      <c r="BD14" s="39"/>
      <c r="BE14" s="39"/>
      <c r="BF14" s="39"/>
      <c r="BG14" s="325"/>
      <c r="BH14" s="327"/>
      <c r="BI14" s="39"/>
      <c r="BJ14" s="39"/>
      <c r="BK14" s="39"/>
      <c r="BL14" s="325"/>
      <c r="BM14" s="327"/>
      <c r="BN14" s="39"/>
      <c r="BO14" s="39"/>
      <c r="BP14" s="39"/>
      <c r="BQ14" s="325"/>
      <c r="BR14" s="327"/>
      <c r="BS14" s="39"/>
      <c r="BT14" s="39"/>
      <c r="BU14" s="39"/>
      <c r="BV14" s="325"/>
      <c r="BW14" s="327"/>
      <c r="BX14" s="39"/>
      <c r="BY14" s="39"/>
      <c r="BZ14" s="39"/>
      <c r="CA14" s="325"/>
      <c r="CB14" s="327"/>
      <c r="CC14" s="39"/>
      <c r="CD14" s="39"/>
      <c r="CE14" s="39"/>
      <c r="CF14" s="325"/>
      <c r="CG14" s="37"/>
      <c r="CH14" s="39"/>
      <c r="CI14" s="39"/>
      <c r="CJ14" s="40"/>
    </row>
    <row r="15" spans="1:137" ht="18.75" customHeight="1" thickBot="1" x14ac:dyDescent="0.25">
      <c r="A15" s="82">
        <v>6</v>
      </c>
      <c r="B15" s="83">
        <f>AN4</f>
        <v>0</v>
      </c>
      <c r="C15" s="82">
        <v>6</v>
      </c>
      <c r="D15" s="81">
        <f t="shared" si="1"/>
        <v>28</v>
      </c>
      <c r="E15" s="81">
        <f t="shared" si="0"/>
        <v>29</v>
      </c>
      <c r="F15" s="81">
        <f t="shared" si="2"/>
        <v>27</v>
      </c>
      <c r="G15" s="81">
        <f t="shared" si="3"/>
        <v>28</v>
      </c>
      <c r="H15" s="81">
        <f t="shared" si="4"/>
        <v>29</v>
      </c>
      <c r="I15" s="84">
        <f>AN7</f>
        <v>170000</v>
      </c>
      <c r="J15" s="84">
        <f>AO10</f>
        <v>0</v>
      </c>
      <c r="K15" s="85">
        <f>AP10</f>
        <v>0</v>
      </c>
      <c r="L15" s="84"/>
      <c r="M15" s="84">
        <f>AQ10</f>
        <v>0</v>
      </c>
      <c r="N15" s="324">
        <f t="shared" si="5"/>
        <v>30</v>
      </c>
      <c r="O15" s="328"/>
      <c r="P15" s="638" t="s">
        <v>314</v>
      </c>
      <c r="Q15" s="639" t="s">
        <v>22</v>
      </c>
      <c r="R15" s="639" t="s">
        <v>21</v>
      </c>
      <c r="S15" s="42" t="s">
        <v>18</v>
      </c>
      <c r="T15" s="328"/>
      <c r="U15" s="19" t="s">
        <v>137</v>
      </c>
      <c r="V15" s="19" t="s">
        <v>22</v>
      </c>
      <c r="W15" s="19" t="s">
        <v>21</v>
      </c>
      <c r="X15" s="42" t="s">
        <v>18</v>
      </c>
      <c r="Y15" s="328"/>
      <c r="Z15" s="19" t="s">
        <v>137</v>
      </c>
      <c r="AA15" s="19" t="s">
        <v>22</v>
      </c>
      <c r="AB15" s="19" t="s">
        <v>21</v>
      </c>
      <c r="AC15" s="42" t="s">
        <v>18</v>
      </c>
      <c r="AD15" s="328"/>
      <c r="AE15" s="19" t="s">
        <v>137</v>
      </c>
      <c r="AF15" s="19" t="s">
        <v>22</v>
      </c>
      <c r="AG15" s="19" t="s">
        <v>21</v>
      </c>
      <c r="AH15" s="42" t="s">
        <v>18</v>
      </c>
      <c r="AI15" s="328"/>
      <c r="AJ15" s="19" t="s">
        <v>137</v>
      </c>
      <c r="AK15" s="19" t="s">
        <v>22</v>
      </c>
      <c r="AL15" s="19" t="s">
        <v>21</v>
      </c>
      <c r="AM15" s="42" t="s">
        <v>18</v>
      </c>
      <c r="AN15" s="328"/>
      <c r="AO15" s="19" t="s">
        <v>137</v>
      </c>
      <c r="AP15" s="19" t="s">
        <v>22</v>
      </c>
      <c r="AQ15" s="19" t="s">
        <v>21</v>
      </c>
      <c r="AR15" s="42" t="s">
        <v>18</v>
      </c>
      <c r="AS15" s="328"/>
      <c r="AT15" s="19" t="s">
        <v>137</v>
      </c>
      <c r="AU15" s="19" t="s">
        <v>22</v>
      </c>
      <c r="AV15" s="19" t="s">
        <v>21</v>
      </c>
      <c r="AW15" s="42" t="s">
        <v>18</v>
      </c>
      <c r="AX15" s="328"/>
      <c r="AY15" s="19" t="s">
        <v>137</v>
      </c>
      <c r="AZ15" s="19" t="s">
        <v>22</v>
      </c>
      <c r="BA15" s="19" t="s">
        <v>21</v>
      </c>
      <c r="BB15" s="42" t="s">
        <v>18</v>
      </c>
      <c r="BC15" s="328"/>
      <c r="BD15" s="19" t="s">
        <v>137</v>
      </c>
      <c r="BE15" s="19" t="s">
        <v>22</v>
      </c>
      <c r="BF15" s="19" t="s">
        <v>21</v>
      </c>
      <c r="BG15" s="42" t="s">
        <v>18</v>
      </c>
      <c r="BH15" s="328"/>
      <c r="BI15" s="19" t="s">
        <v>137</v>
      </c>
      <c r="BJ15" s="19" t="s">
        <v>22</v>
      </c>
      <c r="BK15" s="19" t="s">
        <v>21</v>
      </c>
      <c r="BL15" s="42" t="s">
        <v>18</v>
      </c>
      <c r="BM15" s="328"/>
      <c r="BN15" s="19" t="s">
        <v>137</v>
      </c>
      <c r="BO15" s="19" t="s">
        <v>22</v>
      </c>
      <c r="BP15" s="19" t="s">
        <v>21</v>
      </c>
      <c r="BQ15" s="42" t="s">
        <v>18</v>
      </c>
      <c r="BR15" s="328"/>
      <c r="BS15" s="19" t="s">
        <v>137</v>
      </c>
      <c r="BT15" s="19" t="s">
        <v>22</v>
      </c>
      <c r="BU15" s="19" t="s">
        <v>21</v>
      </c>
      <c r="BV15" s="42" t="s">
        <v>18</v>
      </c>
      <c r="BW15" s="328"/>
      <c r="BX15" s="19" t="s">
        <v>137</v>
      </c>
      <c r="BY15" s="19" t="s">
        <v>22</v>
      </c>
      <c r="BZ15" s="19" t="s">
        <v>21</v>
      </c>
      <c r="CA15" s="42" t="s">
        <v>18</v>
      </c>
      <c r="CB15" s="328"/>
      <c r="CC15" s="19" t="s">
        <v>137</v>
      </c>
      <c r="CD15" s="19" t="s">
        <v>22</v>
      </c>
      <c r="CE15" s="19" t="s">
        <v>21</v>
      </c>
      <c r="CF15" s="42" t="s">
        <v>18</v>
      </c>
      <c r="CG15" s="41"/>
      <c r="CH15" s="19"/>
      <c r="CI15" s="19"/>
      <c r="CJ15" s="19"/>
      <c r="CK15" s="42"/>
    </row>
    <row r="16" spans="1:137" ht="19.5" customHeight="1" thickBot="1" x14ac:dyDescent="0.25">
      <c r="A16" s="82">
        <v>7</v>
      </c>
      <c r="B16" s="83">
        <f>AS4</f>
        <v>0</v>
      </c>
      <c r="C16" s="82">
        <v>7</v>
      </c>
      <c r="D16" s="81">
        <f t="shared" si="1"/>
        <v>33</v>
      </c>
      <c r="E16" s="81">
        <f t="shared" si="0"/>
        <v>34</v>
      </c>
      <c r="F16" s="81">
        <f t="shared" si="2"/>
        <v>32</v>
      </c>
      <c r="G16" s="81">
        <f t="shared" si="3"/>
        <v>33</v>
      </c>
      <c r="H16" s="81">
        <f t="shared" si="4"/>
        <v>34</v>
      </c>
      <c r="I16" s="84">
        <f>AS7</f>
        <v>170000</v>
      </c>
      <c r="J16" s="84">
        <f>AT10</f>
        <v>0</v>
      </c>
      <c r="K16" s="85">
        <f>AU10</f>
        <v>0</v>
      </c>
      <c r="L16" s="84"/>
      <c r="M16" s="84">
        <f>AV10</f>
        <v>0</v>
      </c>
      <c r="N16" s="324">
        <f t="shared" si="5"/>
        <v>35</v>
      </c>
      <c r="O16" s="43">
        <v>1</v>
      </c>
      <c r="P16" s="640" t="s">
        <v>315</v>
      </c>
      <c r="Q16" s="677">
        <f>VLOOKUP(P16,Apoio!C:E,2,0)</f>
        <v>216010</v>
      </c>
      <c r="R16" s="641" t="s">
        <v>316</v>
      </c>
      <c r="S16" s="378">
        <v>5</v>
      </c>
      <c r="T16" s="43">
        <v>1</v>
      </c>
      <c r="U16" s="405" t="s">
        <v>304</v>
      </c>
      <c r="V16" s="564">
        <v>231156</v>
      </c>
      <c r="W16" s="385">
        <v>225000</v>
      </c>
      <c r="X16" s="378">
        <f>S16</f>
        <v>5</v>
      </c>
      <c r="Y16" s="43">
        <v>1</v>
      </c>
      <c r="Z16" s="405"/>
      <c r="AA16" s="564"/>
      <c r="AB16" s="565"/>
      <c r="AC16" s="566"/>
      <c r="AD16" s="43">
        <v>1</v>
      </c>
      <c r="AE16" s="405"/>
      <c r="AF16" s="376"/>
      <c r="AG16" s="385"/>
      <c r="AH16" s="379"/>
      <c r="AI16" s="43">
        <v>1</v>
      </c>
      <c r="AJ16" s="406"/>
      <c r="AK16" s="376"/>
      <c r="AL16" s="385"/>
      <c r="AM16" s="379"/>
      <c r="AN16" s="43">
        <v>1</v>
      </c>
      <c r="AO16" s="334"/>
      <c r="AP16" s="316"/>
      <c r="AQ16" s="316"/>
      <c r="AR16" s="337"/>
      <c r="AS16" s="43">
        <v>1</v>
      </c>
      <c r="AT16" s="334"/>
      <c r="AU16" s="316"/>
      <c r="AV16" s="316"/>
      <c r="AW16" s="337"/>
      <c r="AX16" s="43">
        <v>1</v>
      </c>
      <c r="AY16" s="334"/>
      <c r="AZ16" s="316"/>
      <c r="BA16" s="316"/>
      <c r="BB16" s="337"/>
      <c r="BC16" s="43">
        <v>1</v>
      </c>
      <c r="BD16" s="334"/>
      <c r="BE16" s="316"/>
      <c r="BF16" s="316"/>
      <c r="BG16" s="337"/>
      <c r="BH16" s="43">
        <v>1</v>
      </c>
      <c r="BI16" s="334"/>
      <c r="BJ16" s="316"/>
      <c r="BK16" s="316"/>
      <c r="BL16" s="337"/>
      <c r="BM16" s="43">
        <v>1</v>
      </c>
      <c r="BN16" s="334"/>
      <c r="BO16" s="316"/>
      <c r="BP16" s="316"/>
      <c r="BQ16" s="337"/>
      <c r="BR16" s="43">
        <v>1</v>
      </c>
      <c r="BS16" s="334"/>
      <c r="BT16" s="316"/>
      <c r="BU16" s="316"/>
      <c r="BV16" s="337"/>
      <c r="BW16" s="43">
        <v>1</v>
      </c>
      <c r="BX16" s="334"/>
      <c r="BY16" s="316"/>
      <c r="BZ16" s="316"/>
      <c r="CA16" s="337"/>
      <c r="CB16" s="43">
        <v>1</v>
      </c>
      <c r="CC16" s="334"/>
      <c r="CD16" s="316"/>
      <c r="CE16" s="316"/>
      <c r="CF16" s="337"/>
      <c r="CG16" s="43"/>
      <c r="CH16" s="13"/>
      <c r="CI16" s="28"/>
      <c r="CJ16" s="28"/>
      <c r="CK16" s="44"/>
    </row>
    <row r="17" spans="1:89" s="1" customFormat="1" ht="19.5" customHeight="1" thickBot="1" x14ac:dyDescent="0.25">
      <c r="A17" s="82">
        <v>8</v>
      </c>
      <c r="B17" s="86">
        <f>AX4</f>
        <v>0</v>
      </c>
      <c r="C17" s="82">
        <v>8</v>
      </c>
      <c r="D17" s="81">
        <f t="shared" si="1"/>
        <v>38</v>
      </c>
      <c r="E17" s="81">
        <f t="shared" si="0"/>
        <v>39</v>
      </c>
      <c r="F17" s="81">
        <f t="shared" si="2"/>
        <v>37</v>
      </c>
      <c r="G17" s="81">
        <f t="shared" si="3"/>
        <v>38</v>
      </c>
      <c r="H17" s="81">
        <f t="shared" si="4"/>
        <v>39</v>
      </c>
      <c r="I17" s="87">
        <f>AX7</f>
        <v>130000</v>
      </c>
      <c r="J17" s="84">
        <f>AY10</f>
        <v>0</v>
      </c>
      <c r="K17" s="85">
        <f>AZ10</f>
        <v>0</v>
      </c>
      <c r="L17" s="84"/>
      <c r="M17" s="84">
        <f>BA10</f>
        <v>0</v>
      </c>
      <c r="N17" s="324">
        <f t="shared" si="5"/>
        <v>40</v>
      </c>
      <c r="O17" s="45">
        <v>2</v>
      </c>
      <c r="P17" s="640" t="s">
        <v>317</v>
      </c>
      <c r="Q17" s="677">
        <f>VLOOKUP(P17,Apoio!C:E,2,0)</f>
        <v>215850</v>
      </c>
      <c r="R17" s="641" t="s">
        <v>316</v>
      </c>
      <c r="S17" s="378">
        <v>5</v>
      </c>
      <c r="T17" s="45">
        <v>2</v>
      </c>
      <c r="U17" s="405" t="s">
        <v>305</v>
      </c>
      <c r="V17" s="564">
        <v>223098</v>
      </c>
      <c r="W17" s="385">
        <v>225000</v>
      </c>
      <c r="X17" s="378">
        <f t="shared" ref="X17:X26" si="6">S17</f>
        <v>5</v>
      </c>
      <c r="Y17" s="45">
        <v>2</v>
      </c>
      <c r="Z17" s="405"/>
      <c r="AA17" s="564"/>
      <c r="AB17" s="565"/>
      <c r="AC17" s="566"/>
      <c r="AD17" s="45">
        <v>2</v>
      </c>
      <c r="AE17" s="405"/>
      <c r="AF17" s="377"/>
      <c r="AG17" s="385"/>
      <c r="AH17" s="379"/>
      <c r="AI17" s="45">
        <v>2</v>
      </c>
      <c r="AJ17" s="406"/>
      <c r="AK17" s="376"/>
      <c r="AL17" s="385"/>
      <c r="AM17" s="379"/>
      <c r="AN17" s="45">
        <v>2</v>
      </c>
      <c r="AO17" s="335"/>
      <c r="AP17" s="317"/>
      <c r="AQ17" s="317"/>
      <c r="AR17" s="338"/>
      <c r="AS17" s="45">
        <v>2</v>
      </c>
      <c r="AT17" s="335"/>
      <c r="AU17" s="317"/>
      <c r="AV17" s="317"/>
      <c r="AW17" s="338"/>
      <c r="AX17" s="45">
        <v>2</v>
      </c>
      <c r="AY17" s="335"/>
      <c r="AZ17" s="317"/>
      <c r="BA17" s="317"/>
      <c r="BB17" s="338"/>
      <c r="BC17" s="45">
        <v>2</v>
      </c>
      <c r="BD17" s="335"/>
      <c r="BE17" s="317"/>
      <c r="BF17" s="317"/>
      <c r="BG17" s="338"/>
      <c r="BH17" s="45">
        <v>2</v>
      </c>
      <c r="BI17" s="335"/>
      <c r="BJ17" s="317"/>
      <c r="BK17" s="317"/>
      <c r="BL17" s="338"/>
      <c r="BM17" s="45">
        <v>2</v>
      </c>
      <c r="BN17" s="335"/>
      <c r="BO17" s="317"/>
      <c r="BP17" s="317"/>
      <c r="BQ17" s="338"/>
      <c r="BR17" s="45">
        <v>2</v>
      </c>
      <c r="BS17" s="335"/>
      <c r="BT17" s="317"/>
      <c r="BU17" s="317"/>
      <c r="BV17" s="338"/>
      <c r="BW17" s="45">
        <v>2</v>
      </c>
      <c r="BX17" s="335"/>
      <c r="BY17" s="317"/>
      <c r="BZ17" s="317"/>
      <c r="CA17" s="338"/>
      <c r="CB17" s="45">
        <v>2</v>
      </c>
      <c r="CC17" s="335"/>
      <c r="CD17" s="317"/>
      <c r="CE17" s="317"/>
      <c r="CF17" s="338"/>
      <c r="CG17" s="45"/>
      <c r="CH17" s="7"/>
      <c r="CI17" s="29"/>
      <c r="CJ17" s="29"/>
      <c r="CK17" s="46"/>
    </row>
    <row r="18" spans="1:89" s="2" customFormat="1" ht="19.5" customHeight="1" thickBot="1" x14ac:dyDescent="0.25">
      <c r="A18" s="82">
        <v>9</v>
      </c>
      <c r="B18" s="86">
        <f>BC4</f>
        <v>0</v>
      </c>
      <c r="C18" s="82">
        <v>9</v>
      </c>
      <c r="D18" s="81">
        <f t="shared" si="1"/>
        <v>43</v>
      </c>
      <c r="E18" s="81">
        <f t="shared" si="0"/>
        <v>44</v>
      </c>
      <c r="F18" s="81">
        <f t="shared" si="2"/>
        <v>42</v>
      </c>
      <c r="G18" s="81">
        <f t="shared" si="3"/>
        <v>43</v>
      </c>
      <c r="H18" s="81">
        <f t="shared" si="4"/>
        <v>44</v>
      </c>
      <c r="I18" s="87">
        <f>BC7</f>
        <v>130000</v>
      </c>
      <c r="J18" s="84">
        <f>BD10</f>
        <v>0</v>
      </c>
      <c r="K18" s="85">
        <f>BE10</f>
        <v>0</v>
      </c>
      <c r="L18" s="84"/>
      <c r="M18" s="84">
        <f>BF10</f>
        <v>0</v>
      </c>
      <c r="N18" s="324">
        <f t="shared" si="5"/>
        <v>45</v>
      </c>
      <c r="O18" s="43">
        <v>3</v>
      </c>
      <c r="P18" s="640" t="s">
        <v>318</v>
      </c>
      <c r="Q18" s="677">
        <f>VLOOKUP(P18,Apoio!C:E,2,0)</f>
        <v>215810</v>
      </c>
      <c r="R18" s="641" t="s">
        <v>316</v>
      </c>
      <c r="S18" s="378">
        <v>5</v>
      </c>
      <c r="T18" s="45">
        <v>3</v>
      </c>
      <c r="U18" s="405" t="s">
        <v>310</v>
      </c>
      <c r="V18" s="564">
        <v>231156</v>
      </c>
      <c r="W18" s="385">
        <v>225000</v>
      </c>
      <c r="X18" s="378">
        <f t="shared" si="6"/>
        <v>5</v>
      </c>
      <c r="Y18" s="45">
        <v>3</v>
      </c>
      <c r="Z18" s="405"/>
      <c r="AA18" s="564"/>
      <c r="AB18" s="565"/>
      <c r="AC18" s="566"/>
      <c r="AD18" s="45">
        <v>3</v>
      </c>
      <c r="AE18" s="405"/>
      <c r="AF18" s="377"/>
      <c r="AG18" s="385"/>
      <c r="AH18" s="379"/>
      <c r="AI18" s="45">
        <v>3</v>
      </c>
      <c r="AJ18" s="406"/>
      <c r="AK18" s="376"/>
      <c r="AL18" s="385"/>
      <c r="AM18" s="379"/>
      <c r="AN18" s="45">
        <v>3</v>
      </c>
      <c r="AO18" s="335"/>
      <c r="AP18" s="318"/>
      <c r="AQ18" s="318"/>
      <c r="AR18" s="338"/>
      <c r="AS18" s="45">
        <v>3</v>
      </c>
      <c r="AT18" s="335"/>
      <c r="AU18" s="318"/>
      <c r="AV18" s="318"/>
      <c r="AW18" s="338"/>
      <c r="AX18" s="45">
        <v>3</v>
      </c>
      <c r="AY18" s="335"/>
      <c r="AZ18" s="318"/>
      <c r="BA18" s="318"/>
      <c r="BB18" s="338"/>
      <c r="BC18" s="45">
        <v>3</v>
      </c>
      <c r="BD18" s="335"/>
      <c r="BE18" s="318"/>
      <c r="BF18" s="318"/>
      <c r="BG18" s="338"/>
      <c r="BH18" s="45">
        <v>3</v>
      </c>
      <c r="BI18" s="335"/>
      <c r="BJ18" s="318"/>
      <c r="BK18" s="318"/>
      <c r="BL18" s="338"/>
      <c r="BM18" s="45">
        <v>3</v>
      </c>
      <c r="BN18" s="335"/>
      <c r="BO18" s="318"/>
      <c r="BP18" s="318"/>
      <c r="BQ18" s="338"/>
      <c r="BR18" s="45">
        <v>3</v>
      </c>
      <c r="BS18" s="335"/>
      <c r="BT18" s="318"/>
      <c r="BU18" s="318"/>
      <c r="BV18" s="338"/>
      <c r="BW18" s="45">
        <v>3</v>
      </c>
      <c r="BX18" s="335"/>
      <c r="BY18" s="318"/>
      <c r="BZ18" s="318"/>
      <c r="CA18" s="338"/>
      <c r="CB18" s="45">
        <v>3</v>
      </c>
      <c r="CC18" s="335"/>
      <c r="CD18" s="318"/>
      <c r="CE18" s="318"/>
      <c r="CF18" s="338"/>
      <c r="CG18" s="45"/>
      <c r="CH18" s="16"/>
      <c r="CI18" s="30"/>
      <c r="CJ18" s="30"/>
      <c r="CK18" s="47"/>
    </row>
    <row r="19" spans="1:89" ht="13.5" thickBot="1" x14ac:dyDescent="0.25">
      <c r="A19" s="82">
        <v>10</v>
      </c>
      <c r="B19" s="83">
        <f>BH4</f>
        <v>0</v>
      </c>
      <c r="C19" s="82">
        <v>10</v>
      </c>
      <c r="D19" s="81">
        <f t="shared" si="1"/>
        <v>48</v>
      </c>
      <c r="E19" s="81">
        <f t="shared" si="0"/>
        <v>49</v>
      </c>
      <c r="F19" s="81">
        <f t="shared" si="2"/>
        <v>47</v>
      </c>
      <c r="G19" s="81">
        <f t="shared" si="3"/>
        <v>48</v>
      </c>
      <c r="H19" s="81">
        <f t="shared" si="4"/>
        <v>49</v>
      </c>
      <c r="I19" s="84">
        <f>BH7</f>
        <v>130000</v>
      </c>
      <c r="J19" s="84">
        <f>BI10</f>
        <v>0</v>
      </c>
      <c r="K19" s="85">
        <f>BJ10</f>
        <v>0</v>
      </c>
      <c r="L19" s="84"/>
      <c r="M19" s="84">
        <f>BK10</f>
        <v>0</v>
      </c>
      <c r="N19" s="324">
        <f t="shared" si="5"/>
        <v>50</v>
      </c>
      <c r="O19" s="45">
        <v>4</v>
      </c>
      <c r="P19" s="640" t="s">
        <v>319</v>
      </c>
      <c r="Q19" s="677">
        <f>VLOOKUP(P19,Apoio!C:E,2,0)</f>
        <v>216040</v>
      </c>
      <c r="R19" s="641" t="s">
        <v>316</v>
      </c>
      <c r="S19" s="378">
        <v>5</v>
      </c>
      <c r="T19" s="43">
        <v>4</v>
      </c>
      <c r="U19" s="405" t="s">
        <v>311</v>
      </c>
      <c r="V19" s="564">
        <v>223098</v>
      </c>
      <c r="W19" s="385">
        <v>225000</v>
      </c>
      <c r="X19" s="378">
        <f t="shared" si="6"/>
        <v>5</v>
      </c>
      <c r="Y19" s="43">
        <v>4</v>
      </c>
      <c r="Z19" s="405"/>
      <c r="AA19" s="564"/>
      <c r="AB19" s="565"/>
      <c r="AC19" s="566"/>
      <c r="AD19" s="43">
        <v>4</v>
      </c>
      <c r="AE19" s="405"/>
      <c r="AF19" s="568"/>
      <c r="AG19" s="385"/>
      <c r="AH19" s="379"/>
      <c r="AI19" s="43">
        <v>4</v>
      </c>
      <c r="AJ19" s="406"/>
      <c r="AK19" s="376"/>
      <c r="AL19" s="385"/>
      <c r="AM19" s="379"/>
      <c r="AN19" s="43">
        <v>4</v>
      </c>
      <c r="AO19" s="334"/>
      <c r="AP19" s="316"/>
      <c r="AQ19" s="316"/>
      <c r="AR19" s="337"/>
      <c r="AS19" s="43">
        <v>4</v>
      </c>
      <c r="AT19" s="334"/>
      <c r="AU19" s="316"/>
      <c r="AV19" s="316"/>
      <c r="AW19" s="337"/>
      <c r="AX19" s="43">
        <v>4</v>
      </c>
      <c r="AY19" s="334"/>
      <c r="AZ19" s="316"/>
      <c r="BA19" s="316"/>
      <c r="BB19" s="337"/>
      <c r="BC19" s="43">
        <v>4</v>
      </c>
      <c r="BD19" s="334"/>
      <c r="BE19" s="316"/>
      <c r="BF19" s="316"/>
      <c r="BG19" s="337"/>
      <c r="BH19" s="43">
        <v>4</v>
      </c>
      <c r="BI19" s="334"/>
      <c r="BJ19" s="316"/>
      <c r="BK19" s="316"/>
      <c r="BL19" s="337"/>
      <c r="BM19" s="43">
        <v>4</v>
      </c>
      <c r="BN19" s="334"/>
      <c r="BO19" s="316"/>
      <c r="BP19" s="316"/>
      <c r="BQ19" s="337"/>
      <c r="BR19" s="43">
        <v>4</v>
      </c>
      <c r="BS19" s="334"/>
      <c r="BT19" s="316"/>
      <c r="BU19" s="316"/>
      <c r="BV19" s="337"/>
      <c r="BW19" s="43">
        <v>4</v>
      </c>
      <c r="BX19" s="334"/>
      <c r="BY19" s="316"/>
      <c r="BZ19" s="316"/>
      <c r="CA19" s="337"/>
      <c r="CB19" s="43">
        <v>4</v>
      </c>
      <c r="CC19" s="334"/>
      <c r="CD19" s="316"/>
      <c r="CE19" s="316"/>
      <c r="CF19" s="337"/>
      <c r="CG19" s="43"/>
      <c r="CH19" s="13"/>
      <c r="CI19" s="28"/>
      <c r="CJ19" s="28"/>
      <c r="CK19" s="44"/>
    </row>
    <row r="20" spans="1:89" ht="13.5" thickBot="1" x14ac:dyDescent="0.25">
      <c r="A20" s="82">
        <v>11</v>
      </c>
      <c r="B20" s="83">
        <f>BM4</f>
        <v>0</v>
      </c>
      <c r="C20" s="82">
        <v>11</v>
      </c>
      <c r="D20" s="81">
        <f t="shared" si="1"/>
        <v>53</v>
      </c>
      <c r="E20" s="81">
        <f t="shared" si="0"/>
        <v>54</v>
      </c>
      <c r="F20" s="81">
        <f t="shared" si="2"/>
        <v>52</v>
      </c>
      <c r="G20" s="81">
        <f t="shared" si="3"/>
        <v>53</v>
      </c>
      <c r="H20" s="81">
        <f t="shared" si="4"/>
        <v>54</v>
      </c>
      <c r="I20" s="84">
        <f>BM7</f>
        <v>130000</v>
      </c>
      <c r="J20" s="84">
        <f>BN10</f>
        <v>0</v>
      </c>
      <c r="K20" s="85">
        <f>BO10</f>
        <v>0</v>
      </c>
      <c r="L20" s="84"/>
      <c r="M20" s="84">
        <f>BP10</f>
        <v>0</v>
      </c>
      <c r="N20" s="324">
        <f t="shared" si="5"/>
        <v>55</v>
      </c>
      <c r="O20" s="43">
        <v>5</v>
      </c>
      <c r="P20" s="640" t="s">
        <v>320</v>
      </c>
      <c r="Q20" s="677">
        <f>VLOOKUP(P20,Apoio!C:E,2,0)</f>
        <v>216040</v>
      </c>
      <c r="R20" s="641" t="s">
        <v>316</v>
      </c>
      <c r="S20" s="378">
        <v>5</v>
      </c>
      <c r="T20" s="43">
        <v>5</v>
      </c>
      <c r="U20" s="405" t="s">
        <v>312</v>
      </c>
      <c r="V20" s="564">
        <v>231156</v>
      </c>
      <c r="W20" s="385">
        <v>225000</v>
      </c>
      <c r="X20" s="378">
        <f t="shared" si="6"/>
        <v>5</v>
      </c>
      <c r="Y20" s="43">
        <v>5</v>
      </c>
      <c r="Z20" s="405"/>
      <c r="AA20" s="564"/>
      <c r="AB20" s="565"/>
      <c r="AC20" s="566"/>
      <c r="AD20" s="43">
        <v>5</v>
      </c>
      <c r="AE20" s="405"/>
      <c r="AF20" s="568"/>
      <c r="AG20" s="385"/>
      <c r="AH20" s="379"/>
      <c r="AI20" s="43">
        <v>5</v>
      </c>
      <c r="AJ20" s="334"/>
      <c r="AK20" s="316"/>
      <c r="AL20" s="316"/>
      <c r="AM20" s="337"/>
      <c r="AN20" s="43">
        <v>5</v>
      </c>
      <c r="AO20" s="334"/>
      <c r="AP20" s="316"/>
      <c r="AQ20" s="316"/>
      <c r="AR20" s="337"/>
      <c r="AS20" s="43">
        <v>5</v>
      </c>
      <c r="AT20" s="334"/>
      <c r="AU20" s="316"/>
      <c r="AV20" s="316"/>
      <c r="AW20" s="337"/>
      <c r="AX20" s="43">
        <v>5</v>
      </c>
      <c r="AY20" s="334"/>
      <c r="AZ20" s="316"/>
      <c r="BA20" s="316"/>
      <c r="BB20" s="337"/>
      <c r="BC20" s="43">
        <v>5</v>
      </c>
      <c r="BD20" s="334"/>
      <c r="BE20" s="316"/>
      <c r="BF20" s="316"/>
      <c r="BG20" s="337"/>
      <c r="BH20" s="43">
        <v>5</v>
      </c>
      <c r="BI20" s="334"/>
      <c r="BJ20" s="316"/>
      <c r="BK20" s="316"/>
      <c r="BL20" s="337"/>
      <c r="BM20" s="43">
        <v>5</v>
      </c>
      <c r="BN20" s="334"/>
      <c r="BO20" s="316"/>
      <c r="BP20" s="316"/>
      <c r="BQ20" s="337"/>
      <c r="BR20" s="43">
        <v>5</v>
      </c>
      <c r="BS20" s="334"/>
      <c r="BT20" s="316"/>
      <c r="BU20" s="316"/>
      <c r="BV20" s="337"/>
      <c r="BW20" s="43">
        <v>5</v>
      </c>
      <c r="BX20" s="334"/>
      <c r="BY20" s="316"/>
      <c r="BZ20" s="316"/>
      <c r="CA20" s="337"/>
      <c r="CB20" s="43">
        <v>5</v>
      </c>
      <c r="CC20" s="334"/>
      <c r="CD20" s="316"/>
      <c r="CE20" s="316"/>
      <c r="CF20" s="337"/>
      <c r="CG20" s="43"/>
      <c r="CH20" s="13"/>
      <c r="CI20" s="28"/>
      <c r="CJ20" s="28"/>
      <c r="CK20" s="44"/>
    </row>
    <row r="21" spans="1:89" ht="13.5" thickBot="1" x14ac:dyDescent="0.25">
      <c r="A21" s="82">
        <v>12</v>
      </c>
      <c r="B21" s="83">
        <f>BR4</f>
        <v>0</v>
      </c>
      <c r="C21" s="82">
        <v>12</v>
      </c>
      <c r="D21" s="81">
        <f t="shared" si="1"/>
        <v>58</v>
      </c>
      <c r="E21" s="81">
        <f t="shared" si="0"/>
        <v>59</v>
      </c>
      <c r="F21" s="81">
        <f t="shared" si="2"/>
        <v>57</v>
      </c>
      <c r="G21" s="81">
        <f t="shared" si="3"/>
        <v>58</v>
      </c>
      <c r="H21" s="81">
        <f t="shared" si="4"/>
        <v>59</v>
      </c>
      <c r="I21" s="84">
        <f>BR7</f>
        <v>130000</v>
      </c>
      <c r="J21" s="84">
        <f>BS10</f>
        <v>0</v>
      </c>
      <c r="K21" s="85">
        <f>BT10</f>
        <v>0</v>
      </c>
      <c r="L21" s="84"/>
      <c r="M21" s="84">
        <f>BU10</f>
        <v>0</v>
      </c>
      <c r="N21" s="324">
        <f t="shared" si="5"/>
        <v>60</v>
      </c>
      <c r="O21" s="45">
        <v>6</v>
      </c>
      <c r="P21" s="640" t="s">
        <v>321</v>
      </c>
      <c r="Q21" s="677">
        <f>VLOOKUP(P21,Apoio!C:E,2,0)</f>
        <v>215690</v>
      </c>
      <c r="R21" s="641" t="s">
        <v>316</v>
      </c>
      <c r="S21" s="378">
        <v>5</v>
      </c>
      <c r="T21" s="43">
        <v>6</v>
      </c>
      <c r="U21" s="405" t="s">
        <v>313</v>
      </c>
      <c r="V21" s="564">
        <v>223098</v>
      </c>
      <c r="W21" s="385">
        <v>225000</v>
      </c>
      <c r="X21" s="378">
        <f t="shared" si="6"/>
        <v>5</v>
      </c>
      <c r="Y21" s="43">
        <v>6</v>
      </c>
      <c r="Z21" s="405"/>
      <c r="AA21" s="564"/>
      <c r="AB21" s="565"/>
      <c r="AC21" s="566"/>
      <c r="AD21" s="43">
        <v>6</v>
      </c>
      <c r="AE21" s="405"/>
      <c r="AF21" s="568"/>
      <c r="AG21" s="385"/>
      <c r="AH21" s="379"/>
      <c r="AI21" s="43">
        <v>6</v>
      </c>
      <c r="AJ21" s="334"/>
      <c r="AK21" s="316"/>
      <c r="AL21" s="316"/>
      <c r="AM21" s="337"/>
      <c r="AN21" s="43">
        <v>6</v>
      </c>
      <c r="AO21" s="334"/>
      <c r="AP21" s="316"/>
      <c r="AQ21" s="316"/>
      <c r="AR21" s="337"/>
      <c r="AS21" s="43">
        <v>6</v>
      </c>
      <c r="AT21" s="334"/>
      <c r="AU21" s="316"/>
      <c r="AV21" s="316"/>
      <c r="AW21" s="337"/>
      <c r="AX21" s="43">
        <v>6</v>
      </c>
      <c r="AY21" s="334"/>
      <c r="AZ21" s="316"/>
      <c r="BA21" s="316"/>
      <c r="BB21" s="337"/>
      <c r="BC21" s="43">
        <v>6</v>
      </c>
      <c r="BD21" s="334"/>
      <c r="BE21" s="316"/>
      <c r="BF21" s="316"/>
      <c r="BG21" s="337"/>
      <c r="BH21" s="43">
        <v>6</v>
      </c>
      <c r="BI21" s="334"/>
      <c r="BJ21" s="316"/>
      <c r="BK21" s="316"/>
      <c r="BL21" s="337"/>
      <c r="BM21" s="43">
        <v>6</v>
      </c>
      <c r="BN21" s="334"/>
      <c r="BO21" s="316"/>
      <c r="BP21" s="316"/>
      <c r="BQ21" s="337"/>
      <c r="BR21" s="43">
        <v>6</v>
      </c>
      <c r="BS21" s="334"/>
      <c r="BT21" s="316"/>
      <c r="BU21" s="316"/>
      <c r="BV21" s="337"/>
      <c r="BW21" s="43">
        <v>6</v>
      </c>
      <c r="BX21" s="334"/>
      <c r="BY21" s="316"/>
      <c r="BZ21" s="316"/>
      <c r="CA21" s="337"/>
      <c r="CB21" s="43">
        <v>6</v>
      </c>
      <c r="CC21" s="334"/>
      <c r="CD21" s="316"/>
      <c r="CE21" s="316"/>
      <c r="CF21" s="337"/>
      <c r="CG21" s="43"/>
      <c r="CH21" s="13"/>
      <c r="CI21" s="28"/>
      <c r="CJ21" s="28"/>
      <c r="CK21" s="44"/>
    </row>
    <row r="22" spans="1:89" ht="13.5" thickBot="1" x14ac:dyDescent="0.25">
      <c r="A22" s="82">
        <v>13</v>
      </c>
      <c r="B22" s="83">
        <f>BW4</f>
        <v>0</v>
      </c>
      <c r="C22" s="82">
        <v>13</v>
      </c>
      <c r="D22" s="81">
        <f t="shared" si="1"/>
        <v>63</v>
      </c>
      <c r="E22" s="81">
        <f t="shared" si="0"/>
        <v>64</v>
      </c>
      <c r="F22" s="81">
        <f t="shared" si="2"/>
        <v>62</v>
      </c>
      <c r="G22" s="81">
        <f t="shared" si="3"/>
        <v>63</v>
      </c>
      <c r="H22" s="81">
        <f t="shared" si="4"/>
        <v>64</v>
      </c>
      <c r="I22" s="84">
        <f>BW7</f>
        <v>130000</v>
      </c>
      <c r="J22" s="84">
        <f>BX10</f>
        <v>0</v>
      </c>
      <c r="K22" s="85">
        <f>BY10</f>
        <v>0</v>
      </c>
      <c r="L22" s="84"/>
      <c r="M22" s="84">
        <f>BZ10</f>
        <v>0</v>
      </c>
      <c r="N22" s="324">
        <f t="shared" si="5"/>
        <v>65</v>
      </c>
      <c r="O22" s="43">
        <v>7</v>
      </c>
      <c r="P22" s="640" t="s">
        <v>322</v>
      </c>
      <c r="Q22" s="677">
        <f>VLOOKUP(P22,Apoio!C:E,2,0)</f>
        <v>215860</v>
      </c>
      <c r="R22" s="641" t="s">
        <v>316</v>
      </c>
      <c r="S22" s="378">
        <v>5</v>
      </c>
      <c r="T22" s="43">
        <v>7</v>
      </c>
      <c r="U22" s="405" t="s">
        <v>306</v>
      </c>
      <c r="V22" s="564">
        <v>215041</v>
      </c>
      <c r="W22" s="385">
        <v>215000</v>
      </c>
      <c r="X22" s="378">
        <f t="shared" si="6"/>
        <v>5</v>
      </c>
      <c r="Y22" s="43">
        <v>7</v>
      </c>
      <c r="Z22" s="405"/>
      <c r="AA22" s="564"/>
      <c r="AB22" s="565"/>
      <c r="AC22" s="566"/>
      <c r="AD22" s="43">
        <v>7</v>
      </c>
      <c r="AE22" s="405"/>
      <c r="AF22" s="568"/>
      <c r="AG22" s="385"/>
      <c r="AH22" s="379"/>
      <c r="AI22" s="43">
        <v>7</v>
      </c>
      <c r="AJ22" s="334"/>
      <c r="AK22" s="316"/>
      <c r="AL22" s="316"/>
      <c r="AM22" s="337"/>
      <c r="AN22" s="43">
        <v>7</v>
      </c>
      <c r="AO22" s="334"/>
      <c r="AP22" s="316"/>
      <c r="AQ22" s="316"/>
      <c r="AR22" s="337"/>
      <c r="AS22" s="43">
        <v>7</v>
      </c>
      <c r="AT22" s="334"/>
      <c r="AU22" s="316"/>
      <c r="AV22" s="316"/>
      <c r="AW22" s="337"/>
      <c r="AX22" s="43">
        <v>7</v>
      </c>
      <c r="AY22" s="334"/>
      <c r="AZ22" s="316"/>
      <c r="BA22" s="316"/>
      <c r="BB22" s="337"/>
      <c r="BC22" s="43">
        <v>7</v>
      </c>
      <c r="BD22" s="334"/>
      <c r="BE22" s="316"/>
      <c r="BF22" s="316"/>
      <c r="BG22" s="337"/>
      <c r="BH22" s="43">
        <v>7</v>
      </c>
      <c r="BI22" s="334"/>
      <c r="BJ22" s="316"/>
      <c r="BK22" s="316"/>
      <c r="BL22" s="337"/>
      <c r="BM22" s="43">
        <v>7</v>
      </c>
      <c r="BN22" s="334"/>
      <c r="BO22" s="316"/>
      <c r="BP22" s="316"/>
      <c r="BQ22" s="337"/>
      <c r="BR22" s="43">
        <v>7</v>
      </c>
      <c r="BS22" s="334"/>
      <c r="BT22" s="316"/>
      <c r="BU22" s="316"/>
      <c r="BV22" s="337"/>
      <c r="BW22" s="43">
        <v>7</v>
      </c>
      <c r="BX22" s="334"/>
      <c r="BY22" s="316"/>
      <c r="BZ22" s="316"/>
      <c r="CA22" s="337"/>
      <c r="CB22" s="43">
        <v>7</v>
      </c>
      <c r="CC22" s="334"/>
      <c r="CD22" s="316"/>
      <c r="CE22" s="316"/>
      <c r="CF22" s="337"/>
      <c r="CG22" s="43"/>
      <c r="CH22" s="13"/>
      <c r="CI22" s="28"/>
      <c r="CJ22" s="28"/>
      <c r="CK22" s="44"/>
    </row>
    <row r="23" spans="1:89" ht="13.5" thickBot="1" x14ac:dyDescent="0.25">
      <c r="A23" s="82">
        <v>14</v>
      </c>
      <c r="B23" s="83">
        <f>CB4</f>
        <v>0</v>
      </c>
      <c r="C23" s="82">
        <v>14</v>
      </c>
      <c r="D23" s="81">
        <f t="shared" si="1"/>
        <v>68</v>
      </c>
      <c r="E23" s="81">
        <f t="shared" si="0"/>
        <v>69</v>
      </c>
      <c r="F23" s="81">
        <f t="shared" si="2"/>
        <v>67</v>
      </c>
      <c r="G23" s="81">
        <f t="shared" si="3"/>
        <v>68</v>
      </c>
      <c r="H23" s="81">
        <f t="shared" si="4"/>
        <v>69</v>
      </c>
      <c r="I23" s="84">
        <f>CB7</f>
        <v>130000</v>
      </c>
      <c r="J23" s="84">
        <f>CC10</f>
        <v>0</v>
      </c>
      <c r="K23" s="85">
        <f>CD10</f>
        <v>0</v>
      </c>
      <c r="L23" s="84"/>
      <c r="M23" s="84">
        <f>CE10</f>
        <v>0</v>
      </c>
      <c r="N23" s="324">
        <f t="shared" si="5"/>
        <v>70</v>
      </c>
      <c r="O23" s="45">
        <v>8</v>
      </c>
      <c r="P23" s="640" t="s">
        <v>323</v>
      </c>
      <c r="Q23" s="677">
        <f>VLOOKUP(P23,Apoio!C:E,2,0)</f>
        <v>215940</v>
      </c>
      <c r="R23" s="641" t="s">
        <v>316</v>
      </c>
      <c r="S23" s="378">
        <v>5</v>
      </c>
      <c r="T23" s="45">
        <v>8</v>
      </c>
      <c r="U23" s="405"/>
      <c r="V23" s="564"/>
      <c r="W23" s="562"/>
      <c r="X23" s="378">
        <f t="shared" si="6"/>
        <v>5</v>
      </c>
      <c r="Y23" s="45">
        <v>8</v>
      </c>
      <c r="Z23" s="405"/>
      <c r="AA23" s="564"/>
      <c r="AB23" s="565"/>
      <c r="AC23" s="566"/>
      <c r="AD23" s="45">
        <v>8</v>
      </c>
      <c r="AE23" s="405"/>
      <c r="AF23" s="568"/>
      <c r="AG23" s="385"/>
      <c r="AH23" s="379"/>
      <c r="AI23" s="45">
        <v>8</v>
      </c>
      <c r="AJ23" s="334"/>
      <c r="AK23" s="316"/>
      <c r="AL23" s="316"/>
      <c r="AM23" s="337"/>
      <c r="AN23" s="45">
        <v>8</v>
      </c>
      <c r="AO23" s="334"/>
      <c r="AP23" s="316"/>
      <c r="AQ23" s="316"/>
      <c r="AR23" s="337"/>
      <c r="AS23" s="45">
        <v>8</v>
      </c>
      <c r="AT23" s="334"/>
      <c r="AU23" s="316"/>
      <c r="AV23" s="316"/>
      <c r="AW23" s="337"/>
      <c r="AX23" s="45">
        <v>8</v>
      </c>
      <c r="AY23" s="334"/>
      <c r="AZ23" s="316"/>
      <c r="BA23" s="316"/>
      <c r="BB23" s="337"/>
      <c r="BC23" s="45">
        <v>8</v>
      </c>
      <c r="BD23" s="334"/>
      <c r="BE23" s="316"/>
      <c r="BF23" s="316"/>
      <c r="BG23" s="337"/>
      <c r="BH23" s="45">
        <v>8</v>
      </c>
      <c r="BI23" s="334"/>
      <c r="BJ23" s="316"/>
      <c r="BK23" s="316"/>
      <c r="BL23" s="337"/>
      <c r="BM23" s="45">
        <v>8</v>
      </c>
      <c r="BN23" s="334"/>
      <c r="BO23" s="316"/>
      <c r="BP23" s="316"/>
      <c r="BQ23" s="337"/>
      <c r="BR23" s="45">
        <v>8</v>
      </c>
      <c r="BS23" s="334"/>
      <c r="BT23" s="316"/>
      <c r="BU23" s="316"/>
      <c r="BV23" s="337"/>
      <c r="BW23" s="45">
        <v>8</v>
      </c>
      <c r="BX23" s="334"/>
      <c r="BY23" s="316"/>
      <c r="BZ23" s="316"/>
      <c r="CA23" s="337"/>
      <c r="CB23" s="45">
        <v>8</v>
      </c>
      <c r="CC23" s="334"/>
      <c r="CD23" s="316"/>
      <c r="CE23" s="316"/>
      <c r="CF23" s="337"/>
      <c r="CG23" s="45"/>
      <c r="CH23" s="13"/>
      <c r="CI23" s="28"/>
      <c r="CJ23" s="28"/>
      <c r="CK23" s="44"/>
    </row>
    <row r="24" spans="1:89" ht="13.5" thickBot="1" x14ac:dyDescent="0.25">
      <c r="O24" s="43">
        <v>9</v>
      </c>
      <c r="P24" s="640" t="s">
        <v>324</v>
      </c>
      <c r="Q24" s="677">
        <f>VLOOKUP(P24,Apoio!C:E,2,0)</f>
        <v>215940</v>
      </c>
      <c r="R24" s="641" t="s">
        <v>316</v>
      </c>
      <c r="S24" s="378">
        <v>5</v>
      </c>
      <c r="T24" s="45">
        <v>9</v>
      </c>
      <c r="U24" s="405"/>
      <c r="V24" s="564"/>
      <c r="W24" s="562"/>
      <c r="X24" s="378">
        <f t="shared" si="6"/>
        <v>5</v>
      </c>
      <c r="Y24" s="45">
        <v>9</v>
      </c>
      <c r="Z24" s="405"/>
      <c r="AA24" s="564"/>
      <c r="AB24" s="565"/>
      <c r="AC24" s="566"/>
      <c r="AD24" s="45">
        <v>9</v>
      </c>
      <c r="AE24" s="405"/>
      <c r="AF24" s="568"/>
      <c r="AG24" s="385"/>
      <c r="AH24" s="379"/>
      <c r="AI24" s="45">
        <v>9</v>
      </c>
      <c r="AJ24" s="334"/>
      <c r="AK24" s="316"/>
      <c r="AL24" s="316"/>
      <c r="AM24" s="337"/>
      <c r="AN24" s="45">
        <v>9</v>
      </c>
      <c r="AO24" s="334"/>
      <c r="AP24" s="316"/>
      <c r="AQ24" s="316"/>
      <c r="AR24" s="337"/>
      <c r="AS24" s="45">
        <v>9</v>
      </c>
      <c r="AT24" s="334"/>
      <c r="AU24" s="316"/>
      <c r="AV24" s="316"/>
      <c r="AW24" s="337"/>
      <c r="AX24" s="45">
        <v>9</v>
      </c>
      <c r="AY24" s="334"/>
      <c r="AZ24" s="316"/>
      <c r="BA24" s="316"/>
      <c r="BB24" s="337"/>
      <c r="BC24" s="45">
        <v>9</v>
      </c>
      <c r="BD24" s="334"/>
      <c r="BE24" s="316"/>
      <c r="BF24" s="316"/>
      <c r="BG24" s="337"/>
      <c r="BH24" s="45">
        <v>9</v>
      </c>
      <c r="BI24" s="334"/>
      <c r="BJ24" s="316"/>
      <c r="BK24" s="316"/>
      <c r="BL24" s="337"/>
      <c r="BM24" s="45">
        <v>9</v>
      </c>
      <c r="BN24" s="334"/>
      <c r="BO24" s="316"/>
      <c r="BP24" s="316"/>
      <c r="BQ24" s="337"/>
      <c r="BR24" s="45">
        <v>9</v>
      </c>
      <c r="BS24" s="334"/>
      <c r="BT24" s="316"/>
      <c r="BU24" s="316"/>
      <c r="BV24" s="337"/>
      <c r="BW24" s="45">
        <v>9</v>
      </c>
      <c r="BX24" s="334"/>
      <c r="BY24" s="316"/>
      <c r="BZ24" s="316"/>
      <c r="CA24" s="337"/>
      <c r="CB24" s="45">
        <v>9</v>
      </c>
      <c r="CC24" s="334"/>
      <c r="CD24" s="316"/>
      <c r="CE24" s="316"/>
      <c r="CF24" s="337"/>
      <c r="CG24" s="45"/>
      <c r="CH24" s="13"/>
      <c r="CI24" s="28"/>
      <c r="CJ24" s="28"/>
      <c r="CK24" s="44"/>
    </row>
    <row r="25" spans="1:89" ht="13.5" thickBot="1" x14ac:dyDescent="0.25">
      <c r="O25" s="45">
        <v>10</v>
      </c>
      <c r="P25" s="640" t="s">
        <v>325</v>
      </c>
      <c r="Q25" s="677">
        <f>VLOOKUP(P25,Apoio!C:E,2,0)</f>
        <v>216040</v>
      </c>
      <c r="R25" s="641" t="s">
        <v>316</v>
      </c>
      <c r="S25" s="378">
        <v>5</v>
      </c>
      <c r="T25" s="43">
        <v>10</v>
      </c>
      <c r="U25" s="405"/>
      <c r="V25" s="564"/>
      <c r="W25" s="562"/>
      <c r="X25" s="378">
        <f t="shared" si="6"/>
        <v>5</v>
      </c>
      <c r="Y25" s="43">
        <v>10</v>
      </c>
      <c r="Z25" s="405"/>
      <c r="AA25" s="564"/>
      <c r="AB25" s="565"/>
      <c r="AC25" s="566"/>
      <c r="AD25" s="43">
        <v>10</v>
      </c>
      <c r="AE25" s="405"/>
      <c r="AF25" s="568"/>
      <c r="AG25" s="385"/>
      <c r="AH25" s="379"/>
      <c r="AI25" s="43">
        <v>10</v>
      </c>
      <c r="AJ25" s="334"/>
      <c r="AK25" s="316"/>
      <c r="AL25" s="316"/>
      <c r="AM25" s="337"/>
      <c r="AN25" s="43">
        <v>10</v>
      </c>
      <c r="AO25" s="334"/>
      <c r="AP25" s="316"/>
      <c r="AQ25" s="316"/>
      <c r="AR25" s="337"/>
      <c r="AS25" s="43">
        <v>10</v>
      </c>
      <c r="AT25" s="334"/>
      <c r="AU25" s="316"/>
      <c r="AV25" s="316"/>
      <c r="AW25" s="337"/>
      <c r="AX25" s="43">
        <v>10</v>
      </c>
      <c r="AY25" s="334"/>
      <c r="AZ25" s="316"/>
      <c r="BA25" s="316"/>
      <c r="BB25" s="337"/>
      <c r="BC25" s="43">
        <v>10</v>
      </c>
      <c r="BD25" s="334"/>
      <c r="BE25" s="316"/>
      <c r="BF25" s="316"/>
      <c r="BG25" s="337"/>
      <c r="BH25" s="43">
        <v>10</v>
      </c>
      <c r="BI25" s="334"/>
      <c r="BJ25" s="316"/>
      <c r="BK25" s="316"/>
      <c r="BL25" s="337"/>
      <c r="BM25" s="43">
        <v>10</v>
      </c>
      <c r="BN25" s="334"/>
      <c r="BO25" s="316"/>
      <c r="BP25" s="316"/>
      <c r="BQ25" s="337"/>
      <c r="BR25" s="43">
        <v>10</v>
      </c>
      <c r="BS25" s="334"/>
      <c r="BT25" s="316"/>
      <c r="BU25" s="316"/>
      <c r="BV25" s="337"/>
      <c r="BW25" s="43">
        <v>10</v>
      </c>
      <c r="BX25" s="334"/>
      <c r="BY25" s="316"/>
      <c r="BZ25" s="316"/>
      <c r="CA25" s="337"/>
      <c r="CB25" s="43">
        <v>10</v>
      </c>
      <c r="CC25" s="334"/>
      <c r="CD25" s="316"/>
      <c r="CE25" s="316"/>
      <c r="CF25" s="337"/>
      <c r="CG25" s="43"/>
      <c r="CH25" s="13"/>
      <c r="CI25" s="28"/>
      <c r="CJ25" s="28"/>
      <c r="CK25" s="44"/>
    </row>
    <row r="26" spans="1:89" ht="13.5" thickBot="1" x14ac:dyDescent="0.25">
      <c r="O26" s="43">
        <v>11</v>
      </c>
      <c r="P26" s="640" t="s">
        <v>326</v>
      </c>
      <c r="Q26" s="677">
        <f>VLOOKUP(P26,Apoio!C:E,2,0)</f>
        <v>216040</v>
      </c>
      <c r="R26" s="641" t="s">
        <v>316</v>
      </c>
      <c r="S26" s="378">
        <v>5</v>
      </c>
      <c r="T26" s="43">
        <v>11</v>
      </c>
      <c r="U26" s="405"/>
      <c r="V26" s="564"/>
      <c r="W26" s="562"/>
      <c r="X26" s="378">
        <f t="shared" si="6"/>
        <v>5</v>
      </c>
      <c r="Y26" s="43">
        <v>11</v>
      </c>
      <c r="Z26" s="405"/>
      <c r="AA26" s="564"/>
      <c r="AB26" s="565"/>
      <c r="AC26" s="566"/>
      <c r="AD26" s="43">
        <v>11</v>
      </c>
      <c r="AE26" s="405"/>
      <c r="AF26" s="568"/>
      <c r="AG26" s="385"/>
      <c r="AH26" s="379"/>
      <c r="AI26" s="43">
        <v>11</v>
      </c>
      <c r="AJ26" s="334"/>
      <c r="AK26" s="316"/>
      <c r="AL26" s="316"/>
      <c r="AM26" s="337"/>
      <c r="AN26" s="43">
        <v>11</v>
      </c>
      <c r="AO26" s="334"/>
      <c r="AP26" s="316"/>
      <c r="AQ26" s="316"/>
      <c r="AR26" s="337"/>
      <c r="AS26" s="43">
        <v>11</v>
      </c>
      <c r="AT26" s="334"/>
      <c r="AU26" s="316"/>
      <c r="AV26" s="316"/>
      <c r="AW26" s="337"/>
      <c r="AX26" s="43">
        <v>11</v>
      </c>
      <c r="AY26" s="334"/>
      <c r="AZ26" s="316"/>
      <c r="BA26" s="316"/>
      <c r="BB26" s="337"/>
      <c r="BC26" s="43">
        <v>11</v>
      </c>
      <c r="BD26" s="334"/>
      <c r="BE26" s="316"/>
      <c r="BF26" s="316"/>
      <c r="BG26" s="337"/>
      <c r="BH26" s="43">
        <v>11</v>
      </c>
      <c r="BI26" s="334"/>
      <c r="BJ26" s="316"/>
      <c r="BK26" s="316"/>
      <c r="BL26" s="337"/>
      <c r="BM26" s="43">
        <v>11</v>
      </c>
      <c r="BN26" s="334"/>
      <c r="BO26" s="316"/>
      <c r="BP26" s="316"/>
      <c r="BQ26" s="337"/>
      <c r="BR26" s="43">
        <v>11</v>
      </c>
      <c r="BS26" s="334"/>
      <c r="BT26" s="316"/>
      <c r="BU26" s="316"/>
      <c r="BV26" s="337"/>
      <c r="BW26" s="43">
        <v>11</v>
      </c>
      <c r="BX26" s="334"/>
      <c r="BY26" s="316"/>
      <c r="BZ26" s="316"/>
      <c r="CA26" s="337"/>
      <c r="CB26" s="43">
        <v>11</v>
      </c>
      <c r="CC26" s="334"/>
      <c r="CD26" s="316"/>
      <c r="CE26" s="316"/>
      <c r="CF26" s="337"/>
      <c r="CG26" s="43"/>
      <c r="CH26" s="13"/>
      <c r="CI26" s="28"/>
      <c r="CJ26" s="28"/>
      <c r="CK26" s="44"/>
    </row>
    <row r="27" spans="1:89" ht="13.5" thickBot="1" x14ac:dyDescent="0.25">
      <c r="B27" s="4"/>
      <c r="O27" s="45">
        <v>12</v>
      </c>
      <c r="P27" s="640" t="s">
        <v>327</v>
      </c>
      <c r="Q27" s="677">
        <f>VLOOKUP(P27,Apoio!C:E,2,0)</f>
        <v>215940</v>
      </c>
      <c r="R27" s="641" t="s">
        <v>316</v>
      </c>
      <c r="S27" s="378">
        <v>5</v>
      </c>
      <c r="T27" s="43">
        <v>12</v>
      </c>
      <c r="U27" s="334"/>
      <c r="V27" s="316"/>
      <c r="W27" s="316"/>
      <c r="X27" s="337"/>
      <c r="Y27" s="43">
        <v>12</v>
      </c>
      <c r="Z27" s="405"/>
      <c r="AA27" s="316"/>
      <c r="AB27" s="565"/>
      <c r="AC27" s="337"/>
      <c r="AD27" s="43">
        <v>12</v>
      </c>
      <c r="AE27" s="334"/>
      <c r="AF27" s="316"/>
      <c r="AG27" s="316"/>
      <c r="AH27" s="337"/>
      <c r="AI27" s="43">
        <v>12</v>
      </c>
      <c r="AJ27" s="334"/>
      <c r="AK27" s="316"/>
      <c r="AL27" s="316"/>
      <c r="AM27" s="337"/>
      <c r="AN27" s="43">
        <v>12</v>
      </c>
      <c r="AO27" s="334"/>
      <c r="AP27" s="316"/>
      <c r="AQ27" s="316"/>
      <c r="AR27" s="337"/>
      <c r="AS27" s="43">
        <v>12</v>
      </c>
      <c r="AT27" s="334"/>
      <c r="AU27" s="316"/>
      <c r="AV27" s="316"/>
      <c r="AW27" s="337"/>
      <c r="AX27" s="43">
        <v>12</v>
      </c>
      <c r="AY27" s="334"/>
      <c r="AZ27" s="316"/>
      <c r="BA27" s="316"/>
      <c r="BB27" s="337"/>
      <c r="BC27" s="43">
        <v>12</v>
      </c>
      <c r="BD27" s="334"/>
      <c r="BE27" s="316"/>
      <c r="BF27" s="316"/>
      <c r="BG27" s="337"/>
      <c r="BH27" s="43">
        <v>12</v>
      </c>
      <c r="BI27" s="334"/>
      <c r="BJ27" s="316"/>
      <c r="BK27" s="316"/>
      <c r="BL27" s="337"/>
      <c r="BM27" s="43">
        <v>12</v>
      </c>
      <c r="BN27" s="334"/>
      <c r="BO27" s="316"/>
      <c r="BP27" s="316"/>
      <c r="BQ27" s="337"/>
      <c r="BR27" s="43">
        <v>12</v>
      </c>
      <c r="BS27" s="334"/>
      <c r="BT27" s="316"/>
      <c r="BU27" s="316"/>
      <c r="BV27" s="337"/>
      <c r="BW27" s="43">
        <v>12</v>
      </c>
      <c r="BX27" s="334"/>
      <c r="BY27" s="316"/>
      <c r="BZ27" s="316"/>
      <c r="CA27" s="337"/>
      <c r="CB27" s="43">
        <v>12</v>
      </c>
      <c r="CC27" s="334"/>
      <c r="CD27" s="316"/>
      <c r="CE27" s="316"/>
      <c r="CF27" s="337"/>
      <c r="CG27" s="43"/>
      <c r="CH27" s="13"/>
      <c r="CI27" s="28"/>
      <c r="CJ27" s="28"/>
      <c r="CK27" s="44"/>
    </row>
    <row r="28" spans="1:89" ht="13.5" thickBot="1" x14ac:dyDescent="0.25">
      <c r="B28" s="4"/>
      <c r="O28" s="43">
        <v>13</v>
      </c>
      <c r="P28" s="640" t="s">
        <v>328</v>
      </c>
      <c r="Q28" s="677">
        <f>VLOOKUP(P28,Apoio!C:E,2,0)</f>
        <v>215940</v>
      </c>
      <c r="R28" s="641" t="s">
        <v>316</v>
      </c>
      <c r="S28" s="378">
        <v>5</v>
      </c>
      <c r="T28" s="43">
        <v>13</v>
      </c>
      <c r="U28" s="334"/>
      <c r="V28" s="316"/>
      <c r="W28" s="316"/>
      <c r="X28" s="337"/>
      <c r="Y28" s="43">
        <v>13</v>
      </c>
      <c r="Z28" s="405"/>
      <c r="AA28" s="316"/>
      <c r="AB28" s="565"/>
      <c r="AC28" s="337"/>
      <c r="AD28" s="43">
        <v>13</v>
      </c>
      <c r="AE28" s="334"/>
      <c r="AF28" s="316"/>
      <c r="AG28" s="316"/>
      <c r="AH28" s="337"/>
      <c r="AI28" s="43">
        <v>13</v>
      </c>
      <c r="AJ28" s="334"/>
      <c r="AK28" s="316"/>
      <c r="AL28" s="316"/>
      <c r="AM28" s="337"/>
      <c r="AN28" s="43">
        <v>13</v>
      </c>
      <c r="AO28" s="334"/>
      <c r="AP28" s="316"/>
      <c r="AQ28" s="316"/>
      <c r="AR28" s="337"/>
      <c r="AS28" s="43">
        <v>13</v>
      </c>
      <c r="AT28" s="334"/>
      <c r="AU28" s="316"/>
      <c r="AV28" s="316"/>
      <c r="AW28" s="337"/>
      <c r="AX28" s="43">
        <v>13</v>
      </c>
      <c r="AY28" s="334"/>
      <c r="AZ28" s="316"/>
      <c r="BA28" s="316"/>
      <c r="BB28" s="337"/>
      <c r="BC28" s="43">
        <v>13</v>
      </c>
      <c r="BD28" s="334"/>
      <c r="BE28" s="316"/>
      <c r="BF28" s="316"/>
      <c r="BG28" s="337"/>
      <c r="BH28" s="43">
        <v>13</v>
      </c>
      <c r="BI28" s="334"/>
      <c r="BJ28" s="316"/>
      <c r="BK28" s="316"/>
      <c r="BL28" s="337"/>
      <c r="BM28" s="43">
        <v>13</v>
      </c>
      <c r="BN28" s="334"/>
      <c r="BO28" s="316"/>
      <c r="BP28" s="316"/>
      <c r="BQ28" s="337"/>
      <c r="BR28" s="43">
        <v>13</v>
      </c>
      <c r="BS28" s="334"/>
      <c r="BT28" s="316"/>
      <c r="BU28" s="316"/>
      <c r="BV28" s="337"/>
      <c r="BW28" s="43">
        <v>13</v>
      </c>
      <c r="BX28" s="334"/>
      <c r="BY28" s="316"/>
      <c r="BZ28" s="316"/>
      <c r="CA28" s="337"/>
      <c r="CB28" s="43">
        <v>13</v>
      </c>
      <c r="CC28" s="334"/>
      <c r="CD28" s="316"/>
      <c r="CE28" s="316"/>
      <c r="CF28" s="337"/>
      <c r="CG28" s="43"/>
      <c r="CH28" s="13"/>
      <c r="CI28" s="28"/>
      <c r="CJ28" s="28"/>
      <c r="CK28" s="44"/>
    </row>
    <row r="29" spans="1:89" ht="13.5" thickBot="1" x14ac:dyDescent="0.25">
      <c r="B29" s="4"/>
      <c r="O29" s="45">
        <v>14</v>
      </c>
      <c r="P29" s="640" t="s">
        <v>329</v>
      </c>
      <c r="Q29" s="677">
        <f>VLOOKUP(P29,Apoio!C:E,2,0)</f>
        <v>216030</v>
      </c>
      <c r="R29" s="641" t="s">
        <v>316</v>
      </c>
      <c r="S29" s="378">
        <v>5</v>
      </c>
      <c r="T29" s="45">
        <v>14</v>
      </c>
      <c r="U29" s="334"/>
      <c r="V29" s="316"/>
      <c r="W29" s="316"/>
      <c r="X29" s="337"/>
      <c r="Y29" s="45">
        <v>14</v>
      </c>
      <c r="Z29" s="405"/>
      <c r="AA29" s="316"/>
      <c r="AB29" s="565"/>
      <c r="AC29" s="337"/>
      <c r="AD29" s="45">
        <v>14</v>
      </c>
      <c r="AE29" s="334"/>
      <c r="AF29" s="316"/>
      <c r="AG29" s="316"/>
      <c r="AH29" s="337"/>
      <c r="AI29" s="45">
        <v>14</v>
      </c>
      <c r="AJ29" s="334"/>
      <c r="AK29" s="316"/>
      <c r="AL29" s="316"/>
      <c r="AM29" s="337"/>
      <c r="AN29" s="45">
        <v>14</v>
      </c>
      <c r="AO29" s="334"/>
      <c r="AP29" s="316"/>
      <c r="AQ29" s="316"/>
      <c r="AR29" s="337"/>
      <c r="AS29" s="45">
        <v>14</v>
      </c>
      <c r="AT29" s="334"/>
      <c r="AU29" s="316"/>
      <c r="AV29" s="316"/>
      <c r="AW29" s="337"/>
      <c r="AX29" s="45">
        <v>14</v>
      </c>
      <c r="AY29" s="334"/>
      <c r="AZ29" s="316"/>
      <c r="BA29" s="316"/>
      <c r="BB29" s="337"/>
      <c r="BC29" s="45">
        <v>14</v>
      </c>
      <c r="BD29" s="334"/>
      <c r="BE29" s="316"/>
      <c r="BF29" s="316"/>
      <c r="BG29" s="337"/>
      <c r="BH29" s="45">
        <v>14</v>
      </c>
      <c r="BI29" s="334"/>
      <c r="BJ29" s="316"/>
      <c r="BK29" s="316"/>
      <c r="BL29" s="337"/>
      <c r="BM29" s="45">
        <v>14</v>
      </c>
      <c r="BN29" s="334"/>
      <c r="BO29" s="316"/>
      <c r="BP29" s="316"/>
      <c r="BQ29" s="337"/>
      <c r="BR29" s="45">
        <v>14</v>
      </c>
      <c r="BS29" s="334"/>
      <c r="BT29" s="316"/>
      <c r="BU29" s="316"/>
      <c r="BV29" s="337"/>
      <c r="BW29" s="45">
        <v>14</v>
      </c>
      <c r="BX29" s="334"/>
      <c r="BY29" s="316"/>
      <c r="BZ29" s="316"/>
      <c r="CA29" s="337"/>
      <c r="CB29" s="45">
        <v>14</v>
      </c>
      <c r="CC29" s="334"/>
      <c r="CD29" s="316"/>
      <c r="CE29" s="316"/>
      <c r="CF29" s="337"/>
      <c r="CG29" s="45"/>
      <c r="CH29" s="13"/>
      <c r="CI29" s="28"/>
      <c r="CJ29" s="28"/>
      <c r="CK29" s="44"/>
    </row>
    <row r="30" spans="1:89" ht="13.5" thickBot="1" x14ac:dyDescent="0.25">
      <c r="O30" s="43">
        <v>15</v>
      </c>
      <c r="P30" s="640" t="s">
        <v>330</v>
      </c>
      <c r="Q30" s="677">
        <f>VLOOKUP(P30,Apoio!C:E,2,0)</f>
        <v>216030</v>
      </c>
      <c r="R30" s="641" t="s">
        <v>316</v>
      </c>
      <c r="S30" s="378">
        <v>5</v>
      </c>
      <c r="T30" s="45">
        <v>15</v>
      </c>
      <c r="U30" s="334"/>
      <c r="V30" s="316"/>
      <c r="W30" s="316"/>
      <c r="X30" s="337"/>
      <c r="Y30" s="45">
        <v>15</v>
      </c>
      <c r="Z30" s="334"/>
      <c r="AA30" s="316"/>
      <c r="AB30" s="565"/>
      <c r="AC30" s="337"/>
      <c r="AD30" s="45">
        <v>15</v>
      </c>
      <c r="AE30" s="334"/>
      <c r="AF30" s="316"/>
      <c r="AG30" s="316"/>
      <c r="AH30" s="337"/>
      <c r="AI30" s="45">
        <v>15</v>
      </c>
      <c r="AJ30" s="334"/>
      <c r="AK30" s="316"/>
      <c r="AL30" s="316"/>
      <c r="AM30" s="337"/>
      <c r="AN30" s="45">
        <v>15</v>
      </c>
      <c r="AO30" s="334"/>
      <c r="AP30" s="316"/>
      <c r="AQ30" s="316"/>
      <c r="AR30" s="337"/>
      <c r="AS30" s="45">
        <v>15</v>
      </c>
      <c r="AT30" s="334"/>
      <c r="AU30" s="316"/>
      <c r="AV30" s="316"/>
      <c r="AW30" s="337"/>
      <c r="AX30" s="45">
        <v>15</v>
      </c>
      <c r="AY30" s="334"/>
      <c r="AZ30" s="316"/>
      <c r="BA30" s="316"/>
      <c r="BB30" s="337"/>
      <c r="BC30" s="45">
        <v>15</v>
      </c>
      <c r="BD30" s="334"/>
      <c r="BE30" s="316"/>
      <c r="BF30" s="316"/>
      <c r="BG30" s="337"/>
      <c r="BH30" s="45">
        <v>15</v>
      </c>
      <c r="BI30" s="334"/>
      <c r="BJ30" s="316"/>
      <c r="BK30" s="316"/>
      <c r="BL30" s="337"/>
      <c r="BM30" s="45">
        <v>15</v>
      </c>
      <c r="BN30" s="334"/>
      <c r="BO30" s="316"/>
      <c r="BP30" s="316"/>
      <c r="BQ30" s="337"/>
      <c r="BR30" s="45">
        <v>15</v>
      </c>
      <c r="BS30" s="334"/>
      <c r="BT30" s="316"/>
      <c r="BU30" s="316"/>
      <c r="BV30" s="337"/>
      <c r="BW30" s="45">
        <v>15</v>
      </c>
      <c r="BX30" s="334"/>
      <c r="BY30" s="316"/>
      <c r="BZ30" s="316"/>
      <c r="CA30" s="337"/>
      <c r="CB30" s="45">
        <v>15</v>
      </c>
      <c r="CC30" s="334"/>
      <c r="CD30" s="316"/>
      <c r="CE30" s="316"/>
      <c r="CF30" s="337"/>
      <c r="CG30" s="45"/>
      <c r="CH30" s="13"/>
      <c r="CI30" s="28"/>
      <c r="CJ30" s="28"/>
      <c r="CK30" s="44"/>
    </row>
    <row r="31" spans="1:89" ht="13.5" thickBot="1" x14ac:dyDescent="0.25">
      <c r="O31" s="45">
        <v>16</v>
      </c>
      <c r="P31" s="640" t="s">
        <v>331</v>
      </c>
      <c r="Q31" s="677">
        <f>VLOOKUP(P31,Apoio!C:E,2,0)</f>
        <v>215940</v>
      </c>
      <c r="R31" s="641" t="s">
        <v>316</v>
      </c>
      <c r="S31" s="378">
        <v>5</v>
      </c>
      <c r="T31" s="43">
        <v>16</v>
      </c>
      <c r="U31" s="334"/>
      <c r="V31" s="316"/>
      <c r="W31" s="316"/>
      <c r="X31" s="337"/>
      <c r="Y31" s="43">
        <v>16</v>
      </c>
      <c r="Z31" s="334"/>
      <c r="AA31" s="316"/>
      <c r="AB31" s="565"/>
      <c r="AC31" s="337"/>
      <c r="AD31" s="43">
        <v>16</v>
      </c>
      <c r="AE31" s="334"/>
      <c r="AF31" s="316"/>
      <c r="AG31" s="316"/>
      <c r="AH31" s="337"/>
      <c r="AI31" s="43">
        <v>16</v>
      </c>
      <c r="AJ31" s="334"/>
      <c r="AK31" s="316"/>
      <c r="AL31" s="316"/>
      <c r="AM31" s="337"/>
      <c r="AN31" s="43">
        <v>16</v>
      </c>
      <c r="AO31" s="334"/>
      <c r="AP31" s="316"/>
      <c r="AQ31" s="316"/>
      <c r="AR31" s="337"/>
      <c r="AS31" s="43">
        <v>16</v>
      </c>
      <c r="AT31" s="334"/>
      <c r="AU31" s="316"/>
      <c r="AV31" s="316"/>
      <c r="AW31" s="337"/>
      <c r="AX31" s="43">
        <v>16</v>
      </c>
      <c r="AY31" s="334"/>
      <c r="AZ31" s="316"/>
      <c r="BA31" s="316"/>
      <c r="BB31" s="337"/>
      <c r="BC31" s="43">
        <v>16</v>
      </c>
      <c r="BD31" s="334"/>
      <c r="BE31" s="316"/>
      <c r="BF31" s="316"/>
      <c r="BG31" s="337"/>
      <c r="BH31" s="43">
        <v>16</v>
      </c>
      <c r="BI31" s="334"/>
      <c r="BJ31" s="316"/>
      <c r="BK31" s="316"/>
      <c r="BL31" s="337"/>
      <c r="BM31" s="43">
        <v>16</v>
      </c>
      <c r="BN31" s="334"/>
      <c r="BO31" s="316"/>
      <c r="BP31" s="316"/>
      <c r="BQ31" s="337"/>
      <c r="BR31" s="43">
        <v>16</v>
      </c>
      <c r="BS31" s="334"/>
      <c r="BT31" s="316"/>
      <c r="BU31" s="316"/>
      <c r="BV31" s="337"/>
      <c r="BW31" s="43">
        <v>16</v>
      </c>
      <c r="BX31" s="334"/>
      <c r="BY31" s="316"/>
      <c r="BZ31" s="316"/>
      <c r="CA31" s="337"/>
      <c r="CB31" s="43">
        <v>16</v>
      </c>
      <c r="CC31" s="334"/>
      <c r="CD31" s="316"/>
      <c r="CE31" s="316"/>
      <c r="CF31" s="337"/>
      <c r="CG31" s="43"/>
      <c r="CH31" s="13"/>
      <c r="CI31" s="28"/>
      <c r="CJ31" s="28"/>
      <c r="CK31" s="44"/>
    </row>
    <row r="32" spans="1:89" ht="13.5" thickBot="1" x14ac:dyDescent="0.25">
      <c r="D32" s="83" t="s">
        <v>155</v>
      </c>
      <c r="E32" s="71"/>
      <c r="O32" s="43">
        <v>17</v>
      </c>
      <c r="P32" s="640" t="s">
        <v>332</v>
      </c>
      <c r="Q32" s="677">
        <f>VLOOKUP(P32,Apoio!C:E,2,0)</f>
        <v>215760</v>
      </c>
      <c r="R32" s="641" t="s">
        <v>316</v>
      </c>
      <c r="S32" s="378">
        <v>5</v>
      </c>
      <c r="T32" s="43">
        <v>17</v>
      </c>
      <c r="U32" s="334"/>
      <c r="V32" s="316"/>
      <c r="W32" s="316"/>
      <c r="X32" s="337"/>
      <c r="Y32" s="43">
        <v>17</v>
      </c>
      <c r="Z32" s="334"/>
      <c r="AA32" s="316"/>
      <c r="AB32" s="565"/>
      <c r="AC32" s="337"/>
      <c r="AD32" s="43">
        <v>17</v>
      </c>
      <c r="AE32" s="334"/>
      <c r="AF32" s="316"/>
      <c r="AG32" s="316"/>
      <c r="AH32" s="337"/>
      <c r="AI32" s="43">
        <v>17</v>
      </c>
      <c r="AJ32" s="334"/>
      <c r="AK32" s="316"/>
      <c r="AL32" s="316"/>
      <c r="AM32" s="337"/>
      <c r="AN32" s="43">
        <v>17</v>
      </c>
      <c r="AO32" s="334"/>
      <c r="AP32" s="316"/>
      <c r="AQ32" s="316"/>
      <c r="AR32" s="337"/>
      <c r="AS32" s="43">
        <v>17</v>
      </c>
      <c r="AT32" s="334"/>
      <c r="AU32" s="316"/>
      <c r="AV32" s="316"/>
      <c r="AW32" s="337"/>
      <c r="AX32" s="43">
        <v>17</v>
      </c>
      <c r="AY32" s="334"/>
      <c r="AZ32" s="316"/>
      <c r="BA32" s="316"/>
      <c r="BB32" s="337"/>
      <c r="BC32" s="43">
        <v>17</v>
      </c>
      <c r="BD32" s="334"/>
      <c r="BE32" s="316"/>
      <c r="BF32" s="316"/>
      <c r="BG32" s="337"/>
      <c r="BH32" s="43">
        <v>17</v>
      </c>
      <c r="BI32" s="334"/>
      <c r="BJ32" s="316"/>
      <c r="BK32" s="316"/>
      <c r="BL32" s="337"/>
      <c r="BM32" s="43">
        <v>17</v>
      </c>
      <c r="BN32" s="334"/>
      <c r="BO32" s="316"/>
      <c r="BP32" s="316"/>
      <c r="BQ32" s="337"/>
      <c r="BR32" s="43">
        <v>17</v>
      </c>
      <c r="BS32" s="334"/>
      <c r="BT32" s="316"/>
      <c r="BU32" s="316"/>
      <c r="BV32" s="337"/>
      <c r="BW32" s="43">
        <v>17</v>
      </c>
      <c r="BX32" s="334"/>
      <c r="BY32" s="316"/>
      <c r="BZ32" s="316"/>
      <c r="CA32" s="337"/>
      <c r="CB32" s="43">
        <v>17</v>
      </c>
      <c r="CC32" s="334"/>
      <c r="CD32" s="316"/>
      <c r="CE32" s="316"/>
      <c r="CF32" s="337"/>
      <c r="CG32" s="43"/>
      <c r="CH32" s="13"/>
      <c r="CI32" s="28"/>
      <c r="CJ32" s="28"/>
      <c r="CK32" s="44"/>
    </row>
    <row r="33" spans="4:89" ht="13.5" thickBot="1" x14ac:dyDescent="0.25">
      <c r="D33" s="88">
        <v>225000</v>
      </c>
      <c r="E33" s="72"/>
      <c r="O33" s="45">
        <v>18</v>
      </c>
      <c r="P33" s="640" t="s">
        <v>333</v>
      </c>
      <c r="Q33" s="677">
        <f>VLOOKUP(P33,Apoio!C:E,2,0)</f>
        <v>216040</v>
      </c>
      <c r="R33" s="641" t="s">
        <v>316</v>
      </c>
      <c r="S33" s="378">
        <v>5</v>
      </c>
      <c r="T33" s="43">
        <v>18</v>
      </c>
      <c r="U33" s="334"/>
      <c r="V33" s="316"/>
      <c r="W33" s="316"/>
      <c r="X33" s="337"/>
      <c r="Y33" s="43">
        <v>18</v>
      </c>
      <c r="Z33" s="334"/>
      <c r="AA33" s="316"/>
      <c r="AB33" s="565"/>
      <c r="AC33" s="337"/>
      <c r="AD33" s="43">
        <v>18</v>
      </c>
      <c r="AE33" s="334"/>
      <c r="AF33" s="316"/>
      <c r="AG33" s="316"/>
      <c r="AH33" s="337"/>
      <c r="AI33" s="43">
        <v>18</v>
      </c>
      <c r="AJ33" s="334"/>
      <c r="AK33" s="316"/>
      <c r="AL33" s="316"/>
      <c r="AM33" s="337"/>
      <c r="AN33" s="43">
        <v>18</v>
      </c>
      <c r="AO33" s="334"/>
      <c r="AP33" s="316"/>
      <c r="AQ33" s="316"/>
      <c r="AR33" s="337"/>
      <c r="AS33" s="43">
        <v>18</v>
      </c>
      <c r="AT33" s="334"/>
      <c r="AU33" s="316"/>
      <c r="AV33" s="316"/>
      <c r="AW33" s="337"/>
      <c r="AX33" s="43">
        <v>18</v>
      </c>
      <c r="AY33" s="334"/>
      <c r="AZ33" s="316"/>
      <c r="BA33" s="316"/>
      <c r="BB33" s="337"/>
      <c r="BC33" s="43">
        <v>18</v>
      </c>
      <c r="BD33" s="334"/>
      <c r="BE33" s="316"/>
      <c r="BF33" s="316"/>
      <c r="BG33" s="337"/>
      <c r="BH33" s="43">
        <v>18</v>
      </c>
      <c r="BI33" s="334"/>
      <c r="BJ33" s="316"/>
      <c r="BK33" s="316"/>
      <c r="BL33" s="337"/>
      <c r="BM33" s="43">
        <v>18</v>
      </c>
      <c r="BN33" s="334"/>
      <c r="BO33" s="316"/>
      <c r="BP33" s="316"/>
      <c r="BQ33" s="337"/>
      <c r="BR33" s="43">
        <v>18</v>
      </c>
      <c r="BS33" s="334"/>
      <c r="BT33" s="316"/>
      <c r="BU33" s="316"/>
      <c r="BV33" s="337"/>
      <c r="BW33" s="43">
        <v>18</v>
      </c>
      <c r="BX33" s="334"/>
      <c r="BY33" s="316"/>
      <c r="BZ33" s="316"/>
      <c r="CA33" s="337"/>
      <c r="CB33" s="43">
        <v>18</v>
      </c>
      <c r="CC33" s="334"/>
      <c r="CD33" s="316"/>
      <c r="CE33" s="316"/>
      <c r="CF33" s="337"/>
      <c r="CG33" s="43"/>
      <c r="CH33" s="13"/>
      <c r="CI33" s="28"/>
      <c r="CJ33" s="28"/>
      <c r="CK33" s="44"/>
    </row>
    <row r="34" spans="4:89" ht="13.5" thickBot="1" x14ac:dyDescent="0.25">
      <c r="D34" s="88">
        <v>250000</v>
      </c>
      <c r="E34" s="72"/>
      <c r="O34" s="43">
        <v>19</v>
      </c>
      <c r="P34" s="640" t="s">
        <v>334</v>
      </c>
      <c r="Q34" s="677">
        <f>VLOOKUP(P34,Apoio!C:E,2,0)</f>
        <v>216040</v>
      </c>
      <c r="R34" s="641" t="s">
        <v>316</v>
      </c>
      <c r="S34" s="378">
        <v>5</v>
      </c>
      <c r="T34" s="43">
        <v>19</v>
      </c>
      <c r="U34" s="334"/>
      <c r="V34" s="316"/>
      <c r="W34" s="316"/>
      <c r="X34" s="337"/>
      <c r="Y34" s="43">
        <v>19</v>
      </c>
      <c r="Z34" s="334"/>
      <c r="AA34" s="316"/>
      <c r="AB34" s="565"/>
      <c r="AC34" s="337"/>
      <c r="AD34" s="43">
        <v>19</v>
      </c>
      <c r="AE34" s="334"/>
      <c r="AF34" s="316"/>
      <c r="AG34" s="316"/>
      <c r="AH34" s="337"/>
      <c r="AI34" s="43">
        <v>19</v>
      </c>
      <c r="AJ34" s="334"/>
      <c r="AK34" s="316"/>
      <c r="AL34" s="316"/>
      <c r="AM34" s="337"/>
      <c r="AN34" s="43">
        <v>19</v>
      </c>
      <c r="AO34" s="334"/>
      <c r="AP34" s="316"/>
      <c r="AQ34" s="316"/>
      <c r="AR34" s="337"/>
      <c r="AS34" s="43">
        <v>19</v>
      </c>
      <c r="AT34" s="334"/>
      <c r="AU34" s="316"/>
      <c r="AV34" s="316"/>
      <c r="AW34" s="337"/>
      <c r="AX34" s="43">
        <v>19</v>
      </c>
      <c r="AY34" s="334"/>
      <c r="AZ34" s="316"/>
      <c r="BA34" s="316"/>
      <c r="BB34" s="337"/>
      <c r="BC34" s="43">
        <v>19</v>
      </c>
      <c r="BD34" s="334"/>
      <c r="BE34" s="316"/>
      <c r="BF34" s="316"/>
      <c r="BG34" s="337"/>
      <c r="BH34" s="43">
        <v>19</v>
      </c>
      <c r="BI34" s="334"/>
      <c r="BJ34" s="316"/>
      <c r="BK34" s="316"/>
      <c r="BL34" s="337"/>
      <c r="BM34" s="43">
        <v>19</v>
      </c>
      <c r="BN34" s="334"/>
      <c r="BO34" s="316"/>
      <c r="BP34" s="316"/>
      <c r="BQ34" s="337"/>
      <c r="BR34" s="43">
        <v>19</v>
      </c>
      <c r="BS34" s="334"/>
      <c r="BT34" s="316"/>
      <c r="BU34" s="316"/>
      <c r="BV34" s="337"/>
      <c r="BW34" s="43">
        <v>19</v>
      </c>
      <c r="BX34" s="334"/>
      <c r="BY34" s="316"/>
      <c r="BZ34" s="316"/>
      <c r="CA34" s="337"/>
      <c r="CB34" s="43">
        <v>19</v>
      </c>
      <c r="CC34" s="334"/>
      <c r="CD34" s="316"/>
      <c r="CE34" s="316"/>
      <c r="CF34" s="337"/>
      <c r="CG34" s="43"/>
      <c r="CH34" s="13"/>
      <c r="CI34" s="28"/>
      <c r="CJ34" s="28"/>
      <c r="CK34" s="44"/>
    </row>
    <row r="35" spans="4:89" ht="13.5" thickBot="1" x14ac:dyDescent="0.25">
      <c r="O35" s="45">
        <v>20</v>
      </c>
      <c r="P35" s="640" t="s">
        <v>335</v>
      </c>
      <c r="Q35" s="677">
        <f>VLOOKUP(P35,Apoio!C:E,2,0)</f>
        <v>215940</v>
      </c>
      <c r="R35" s="641" t="s">
        <v>316</v>
      </c>
      <c r="S35" s="378">
        <v>5</v>
      </c>
      <c r="T35" s="45">
        <v>20</v>
      </c>
      <c r="U35" s="334"/>
      <c r="V35" s="316"/>
      <c r="W35" s="316"/>
      <c r="X35" s="337"/>
      <c r="Y35" s="45">
        <v>20</v>
      </c>
      <c r="Z35" s="334"/>
      <c r="AA35" s="316"/>
      <c r="AB35" s="565"/>
      <c r="AC35" s="337"/>
      <c r="AD35" s="45">
        <v>20</v>
      </c>
      <c r="AE35" s="334"/>
      <c r="AF35" s="316"/>
      <c r="AG35" s="316"/>
      <c r="AH35" s="337"/>
      <c r="AI35" s="45">
        <v>20</v>
      </c>
      <c r="AJ35" s="334"/>
      <c r="AK35" s="316"/>
      <c r="AL35" s="316"/>
      <c r="AM35" s="337"/>
      <c r="AN35" s="45">
        <v>20</v>
      </c>
      <c r="AO35" s="334"/>
      <c r="AP35" s="316"/>
      <c r="AQ35" s="316"/>
      <c r="AR35" s="337"/>
      <c r="AS35" s="45">
        <v>20</v>
      </c>
      <c r="AT35" s="334"/>
      <c r="AU35" s="316"/>
      <c r="AV35" s="316"/>
      <c r="AW35" s="337"/>
      <c r="AX35" s="45">
        <v>20</v>
      </c>
      <c r="AY35" s="334"/>
      <c r="AZ35" s="316"/>
      <c r="BA35" s="316"/>
      <c r="BB35" s="337"/>
      <c r="BC35" s="45">
        <v>20</v>
      </c>
      <c r="BD35" s="334"/>
      <c r="BE35" s="316"/>
      <c r="BF35" s="316"/>
      <c r="BG35" s="337"/>
      <c r="BH35" s="45">
        <v>20</v>
      </c>
      <c r="BI35" s="334"/>
      <c r="BJ35" s="316"/>
      <c r="BK35" s="316"/>
      <c r="BL35" s="337"/>
      <c r="BM35" s="45">
        <v>20</v>
      </c>
      <c r="BN35" s="334"/>
      <c r="BO35" s="316"/>
      <c r="BP35" s="316"/>
      <c r="BQ35" s="337"/>
      <c r="BR35" s="45">
        <v>20</v>
      </c>
      <c r="BS35" s="334"/>
      <c r="BT35" s="316"/>
      <c r="BU35" s="316"/>
      <c r="BV35" s="337"/>
      <c r="BW35" s="45">
        <v>20</v>
      </c>
      <c r="BX35" s="334"/>
      <c r="BY35" s="316"/>
      <c r="BZ35" s="316"/>
      <c r="CA35" s="337"/>
      <c r="CB35" s="45">
        <v>20</v>
      </c>
      <c r="CC35" s="334"/>
      <c r="CD35" s="316"/>
      <c r="CE35" s="316"/>
      <c r="CF35" s="337"/>
      <c r="CG35" s="45"/>
      <c r="CH35" s="13"/>
      <c r="CI35" s="28"/>
      <c r="CJ35" s="28"/>
      <c r="CK35" s="44"/>
    </row>
    <row r="36" spans="4:89" ht="13.5" thickBot="1" x14ac:dyDescent="0.25">
      <c r="O36" s="43">
        <v>21</v>
      </c>
      <c r="P36" s="640" t="s">
        <v>336</v>
      </c>
      <c r="Q36" s="677">
        <f>VLOOKUP(P36,Apoio!C:E,2,0)</f>
        <v>215940</v>
      </c>
      <c r="R36" s="641" t="s">
        <v>316</v>
      </c>
      <c r="S36" s="378">
        <v>5</v>
      </c>
      <c r="T36" s="45">
        <v>21</v>
      </c>
      <c r="U36" s="334"/>
      <c r="V36" s="316"/>
      <c r="W36" s="316"/>
      <c r="X36" s="337"/>
      <c r="Y36" s="45">
        <v>21</v>
      </c>
      <c r="Z36" s="334"/>
      <c r="AA36" s="316"/>
      <c r="AB36" s="565"/>
      <c r="AC36" s="337"/>
      <c r="AD36" s="45">
        <v>21</v>
      </c>
      <c r="AE36" s="334"/>
      <c r="AF36" s="316"/>
      <c r="AG36" s="316"/>
      <c r="AH36" s="337"/>
      <c r="AI36" s="45">
        <v>21</v>
      </c>
      <c r="AJ36" s="334"/>
      <c r="AK36" s="316"/>
      <c r="AL36" s="316"/>
      <c r="AM36" s="337"/>
      <c r="AN36" s="45">
        <v>21</v>
      </c>
      <c r="AO36" s="334"/>
      <c r="AP36" s="316"/>
      <c r="AQ36" s="316"/>
      <c r="AR36" s="337"/>
      <c r="AS36" s="45">
        <v>21</v>
      </c>
      <c r="AT36" s="334"/>
      <c r="AU36" s="316"/>
      <c r="AV36" s="316"/>
      <c r="AW36" s="337"/>
      <c r="AX36" s="45">
        <v>21</v>
      </c>
      <c r="AY36" s="334"/>
      <c r="AZ36" s="316"/>
      <c r="BA36" s="316"/>
      <c r="BB36" s="337"/>
      <c r="BC36" s="45">
        <v>21</v>
      </c>
      <c r="BD36" s="334"/>
      <c r="BE36" s="316"/>
      <c r="BF36" s="316"/>
      <c r="BG36" s="337"/>
      <c r="BH36" s="45">
        <v>21</v>
      </c>
      <c r="BI36" s="334"/>
      <c r="BJ36" s="316"/>
      <c r="BK36" s="316"/>
      <c r="BL36" s="337"/>
      <c r="BM36" s="45">
        <v>21</v>
      </c>
      <c r="BN36" s="334"/>
      <c r="BO36" s="316"/>
      <c r="BP36" s="316"/>
      <c r="BQ36" s="337"/>
      <c r="BR36" s="45">
        <v>21</v>
      </c>
      <c r="BS36" s="334"/>
      <c r="BT36" s="316"/>
      <c r="BU36" s="316"/>
      <c r="BV36" s="337"/>
      <c r="BW36" s="45">
        <v>21</v>
      </c>
      <c r="BX36" s="334"/>
      <c r="BY36" s="316"/>
      <c r="BZ36" s="316"/>
      <c r="CA36" s="337"/>
      <c r="CB36" s="45">
        <v>21</v>
      </c>
      <c r="CC36" s="334"/>
      <c r="CD36" s="316"/>
      <c r="CE36" s="316"/>
      <c r="CF36" s="337"/>
      <c r="CG36" s="45"/>
      <c r="CH36" s="13"/>
      <c r="CI36" s="28"/>
      <c r="CJ36" s="28"/>
      <c r="CK36" s="44"/>
    </row>
    <row r="37" spans="4:89" ht="13.5" thickBot="1" x14ac:dyDescent="0.25">
      <c r="O37" s="45">
        <v>22</v>
      </c>
      <c r="P37" s="640" t="s">
        <v>337</v>
      </c>
      <c r="Q37" s="677">
        <f>VLOOKUP(P37,Apoio!C:E,2,0)</f>
        <v>216030</v>
      </c>
      <c r="R37" s="641" t="s">
        <v>316</v>
      </c>
      <c r="S37" s="378">
        <v>5</v>
      </c>
      <c r="T37" s="329">
        <v>22</v>
      </c>
      <c r="U37" s="336"/>
      <c r="V37" s="330"/>
      <c r="W37" s="330"/>
      <c r="X37" s="340"/>
      <c r="Y37" s="329">
        <v>22</v>
      </c>
      <c r="Z37" s="336"/>
      <c r="AA37" s="330"/>
      <c r="AB37" s="565"/>
      <c r="AC37" s="340"/>
      <c r="AD37" s="329">
        <v>22</v>
      </c>
      <c r="AE37" s="336"/>
      <c r="AF37" s="330"/>
      <c r="AG37" s="330"/>
      <c r="AH37" s="340"/>
      <c r="AI37" s="329">
        <v>22</v>
      </c>
      <c r="AJ37" s="336"/>
      <c r="AK37" s="330"/>
      <c r="AL37" s="330"/>
      <c r="AM37" s="340"/>
      <c r="AN37" s="329">
        <v>22</v>
      </c>
      <c r="AO37" s="336"/>
      <c r="AP37" s="330"/>
      <c r="AQ37" s="330"/>
      <c r="AR37" s="340"/>
      <c r="AS37" s="329">
        <v>22</v>
      </c>
      <c r="AT37" s="336"/>
      <c r="AU37" s="330"/>
      <c r="AV37" s="330"/>
      <c r="AW37" s="340"/>
      <c r="AX37" s="329">
        <v>22</v>
      </c>
      <c r="AY37" s="336"/>
      <c r="AZ37" s="330"/>
      <c r="BA37" s="330"/>
      <c r="BB37" s="340"/>
      <c r="BC37" s="329">
        <v>22</v>
      </c>
      <c r="BD37" s="336"/>
      <c r="BE37" s="330"/>
      <c r="BF37" s="330"/>
      <c r="BG37" s="340"/>
      <c r="BH37" s="329">
        <v>22</v>
      </c>
      <c r="BI37" s="336"/>
      <c r="BJ37" s="330"/>
      <c r="BK37" s="330"/>
      <c r="BL37" s="340"/>
      <c r="BM37" s="329">
        <v>22</v>
      </c>
      <c r="BN37" s="336"/>
      <c r="BO37" s="330"/>
      <c r="BP37" s="330"/>
      <c r="BQ37" s="340"/>
      <c r="BR37" s="329">
        <v>22</v>
      </c>
      <c r="BS37" s="336"/>
      <c r="BT37" s="330"/>
      <c r="BU37" s="330"/>
      <c r="BV37" s="340"/>
      <c r="BW37" s="329">
        <v>22</v>
      </c>
      <c r="BX37" s="336"/>
      <c r="BY37" s="330"/>
      <c r="BZ37" s="330"/>
      <c r="CA37" s="340"/>
      <c r="CB37" s="329">
        <v>22</v>
      </c>
      <c r="CC37" s="336"/>
      <c r="CD37" s="330"/>
      <c r="CE37" s="330"/>
      <c r="CF37" s="340"/>
      <c r="CG37" s="43"/>
      <c r="CH37" s="13"/>
      <c r="CI37" s="28"/>
      <c r="CJ37" s="28"/>
      <c r="CK37" s="44"/>
    </row>
    <row r="38" spans="4:89" ht="12.75" customHeight="1" thickBot="1" x14ac:dyDescent="0.25">
      <c r="O38" s="43">
        <v>23</v>
      </c>
      <c r="P38" s="640" t="s">
        <v>338</v>
      </c>
      <c r="Q38" s="677">
        <f>VLOOKUP(P38,Apoio!C:E,2,0)</f>
        <v>216040</v>
      </c>
      <c r="R38" s="641" t="s">
        <v>316</v>
      </c>
      <c r="S38" s="378">
        <v>5</v>
      </c>
      <c r="T38" s="48"/>
      <c r="U38" s="39"/>
      <c r="V38" s="39"/>
      <c r="W38" s="40"/>
      <c r="Y38" s="48"/>
      <c r="Z38" s="39"/>
      <c r="AA38" s="39"/>
      <c r="AB38" s="40"/>
      <c r="AD38" s="48"/>
      <c r="AE38" s="39"/>
      <c r="AF38" s="39"/>
      <c r="AG38" s="40"/>
      <c r="AI38" s="48"/>
      <c r="AJ38" s="39"/>
      <c r="AK38" s="39"/>
      <c r="AL38" s="40"/>
      <c r="AN38" s="48"/>
      <c r="AO38" s="39"/>
      <c r="AP38" s="39"/>
      <c r="AQ38" s="40"/>
      <c r="AS38" s="48"/>
      <c r="AT38" s="39"/>
      <c r="AU38" s="39"/>
      <c r="AV38" s="40"/>
      <c r="AX38" s="48"/>
      <c r="AY38" s="39"/>
      <c r="AZ38" s="39"/>
      <c r="BA38" s="40"/>
      <c r="BC38" s="48"/>
      <c r="BD38" s="39"/>
      <c r="BE38" s="39"/>
      <c r="BF38" s="40"/>
      <c r="BH38" s="48"/>
      <c r="BI38" s="39"/>
      <c r="BJ38" s="39"/>
      <c r="BK38" s="40"/>
      <c r="BM38" s="48"/>
      <c r="BN38" s="39"/>
      <c r="BO38" s="39"/>
      <c r="BP38" s="40"/>
      <c r="BR38" s="48"/>
      <c r="BS38" s="39"/>
      <c r="BT38" s="39"/>
      <c r="BU38" s="40"/>
      <c r="BW38" s="48"/>
      <c r="BX38" s="39"/>
      <c r="BY38" s="39"/>
      <c r="BZ38" s="40"/>
      <c r="CB38" s="48"/>
      <c r="CC38" s="39"/>
      <c r="CD38" s="39"/>
      <c r="CE38" s="40"/>
      <c r="CG38" s="48"/>
      <c r="CH38" s="39"/>
      <c r="CI38" s="39"/>
      <c r="CJ38" s="40"/>
    </row>
    <row r="39" spans="4:89" ht="12.75" customHeight="1" thickBot="1" x14ac:dyDescent="0.25">
      <c r="O39" s="45">
        <v>24</v>
      </c>
      <c r="P39" s="640" t="s">
        <v>339</v>
      </c>
      <c r="Q39" s="677">
        <f>VLOOKUP(P39,Apoio!C:E,2,0)</f>
        <v>215940</v>
      </c>
      <c r="R39" s="641" t="s">
        <v>316</v>
      </c>
      <c r="S39" s="378">
        <v>5</v>
      </c>
      <c r="T39" s="37"/>
      <c r="U39" s="39"/>
      <c r="V39" s="39"/>
      <c r="W39" s="40"/>
      <c r="Y39" s="37"/>
      <c r="Z39" s="39"/>
      <c r="AA39" s="39"/>
      <c r="AB39" s="40"/>
      <c r="AD39" s="37"/>
      <c r="AE39" s="39"/>
      <c r="AF39" s="39"/>
      <c r="AG39" s="40"/>
      <c r="AI39" s="37"/>
      <c r="AJ39" s="39"/>
      <c r="AK39" s="39"/>
      <c r="AL39" s="40"/>
      <c r="AN39" s="37"/>
      <c r="AO39" s="39"/>
      <c r="AP39" s="39"/>
      <c r="AQ39" s="40"/>
      <c r="AS39" s="37"/>
      <c r="AT39" s="39"/>
      <c r="AU39" s="39"/>
      <c r="AV39" s="40"/>
      <c r="AX39" s="37"/>
      <c r="AY39" s="39"/>
      <c r="AZ39" s="39"/>
      <c r="BA39" s="40"/>
      <c r="BC39" s="37"/>
      <c r="BD39" s="39"/>
      <c r="BE39" s="39"/>
      <c r="BF39" s="40"/>
      <c r="BH39" s="37"/>
      <c r="BI39" s="39"/>
      <c r="BJ39" s="39"/>
      <c r="BK39" s="40"/>
      <c r="BM39" s="37"/>
      <c r="BN39" s="39"/>
      <c r="BO39" s="39"/>
      <c r="BP39" s="40"/>
      <c r="BR39" s="37"/>
      <c r="BS39" s="39"/>
      <c r="BT39" s="39"/>
      <c r="BU39" s="40"/>
      <c r="BW39" s="37"/>
      <c r="BX39" s="39"/>
      <c r="BY39" s="39"/>
      <c r="BZ39" s="40"/>
      <c r="CB39" s="37"/>
      <c r="CC39" s="39"/>
      <c r="CD39" s="39"/>
      <c r="CE39" s="40"/>
      <c r="CG39" s="37"/>
      <c r="CH39" s="39"/>
      <c r="CI39" s="39"/>
      <c r="CJ39" s="40"/>
    </row>
    <row r="40" spans="4:89" ht="12.75" customHeight="1" thickBot="1" x14ac:dyDescent="0.25">
      <c r="O40" s="43">
        <v>25</v>
      </c>
      <c r="P40" s="640" t="s">
        <v>340</v>
      </c>
      <c r="Q40" s="677">
        <f>VLOOKUP(P40,Apoio!C:E,2,0)</f>
        <v>215940</v>
      </c>
      <c r="R40" s="641" t="s">
        <v>316</v>
      </c>
      <c r="S40" s="378">
        <v>5</v>
      </c>
      <c r="T40" s="49" t="s">
        <v>17</v>
      </c>
      <c r="U40" s="19"/>
      <c r="V40" s="34"/>
      <c r="W40" s="8"/>
      <c r="Y40" s="49" t="s">
        <v>17</v>
      </c>
      <c r="Z40" s="19"/>
      <c r="AA40" s="34"/>
      <c r="AB40" s="8"/>
      <c r="AD40" s="49" t="s">
        <v>17</v>
      </c>
      <c r="AE40" s="19" t="s">
        <v>62</v>
      </c>
      <c r="AF40" s="34" t="s">
        <v>14</v>
      </c>
      <c r="AG40" s="8" t="s">
        <v>15</v>
      </c>
      <c r="AI40" s="49" t="s">
        <v>17</v>
      </c>
      <c r="AJ40" s="19" t="s">
        <v>62</v>
      </c>
      <c r="AK40" s="34" t="s">
        <v>14</v>
      </c>
      <c r="AL40" s="8" t="s">
        <v>15</v>
      </c>
      <c r="AN40" s="49" t="s">
        <v>17</v>
      </c>
      <c r="AO40" s="19" t="s">
        <v>62</v>
      </c>
      <c r="AP40" s="34" t="s">
        <v>14</v>
      </c>
      <c r="AQ40" s="8" t="s">
        <v>15</v>
      </c>
      <c r="AS40" s="49" t="s">
        <v>17</v>
      </c>
      <c r="AT40" s="19" t="s">
        <v>62</v>
      </c>
      <c r="AU40" s="34" t="s">
        <v>14</v>
      </c>
      <c r="AV40" s="8" t="s">
        <v>15</v>
      </c>
      <c r="AX40" s="49" t="s">
        <v>17</v>
      </c>
      <c r="AY40" s="19" t="s">
        <v>62</v>
      </c>
      <c r="AZ40" s="34" t="s">
        <v>14</v>
      </c>
      <c r="BA40" s="8" t="s">
        <v>15</v>
      </c>
      <c r="BC40" s="49" t="s">
        <v>17</v>
      </c>
      <c r="BD40" s="19" t="s">
        <v>62</v>
      </c>
      <c r="BE40" s="34" t="s">
        <v>14</v>
      </c>
      <c r="BF40" s="8" t="s">
        <v>15</v>
      </c>
      <c r="BH40" s="49" t="s">
        <v>17</v>
      </c>
      <c r="BI40" s="19" t="s">
        <v>62</v>
      </c>
      <c r="BJ40" s="34" t="s">
        <v>14</v>
      </c>
      <c r="BK40" s="8" t="s">
        <v>15</v>
      </c>
      <c r="BM40" s="49" t="s">
        <v>17</v>
      </c>
      <c r="BN40" s="19" t="s">
        <v>62</v>
      </c>
      <c r="BO40" s="34" t="s">
        <v>14</v>
      </c>
      <c r="BP40" s="8" t="s">
        <v>15</v>
      </c>
      <c r="BR40" s="49" t="s">
        <v>17</v>
      </c>
      <c r="BS40" s="19" t="s">
        <v>62</v>
      </c>
      <c r="BT40" s="34" t="s">
        <v>14</v>
      </c>
      <c r="BU40" s="8" t="s">
        <v>15</v>
      </c>
      <c r="BW40" s="49" t="s">
        <v>17</v>
      </c>
      <c r="BX40" s="19" t="s">
        <v>62</v>
      </c>
      <c r="BY40" s="34" t="s">
        <v>14</v>
      </c>
      <c r="BZ40" s="8" t="s">
        <v>15</v>
      </c>
      <c r="CB40" s="49" t="s">
        <v>17</v>
      </c>
      <c r="CC40" s="19" t="s">
        <v>62</v>
      </c>
      <c r="CD40" s="34" t="s">
        <v>14</v>
      </c>
      <c r="CE40" s="8" t="s">
        <v>15</v>
      </c>
      <c r="CG40" s="49"/>
      <c r="CH40" s="19"/>
      <c r="CI40" s="34"/>
      <c r="CJ40" s="8"/>
    </row>
    <row r="41" spans="4:89" ht="12.75" customHeight="1" thickBot="1" x14ac:dyDescent="0.25">
      <c r="O41" s="45">
        <v>26</v>
      </c>
      <c r="P41" s="640" t="s">
        <v>341</v>
      </c>
      <c r="Q41" s="677">
        <f>VLOOKUP(P41,Apoio!C:E,2,0)</f>
        <v>216040</v>
      </c>
      <c r="R41" s="641" t="s">
        <v>316</v>
      </c>
      <c r="S41" s="378">
        <v>5</v>
      </c>
      <c r="T41" s="51"/>
      <c r="U41" s="12"/>
      <c r="V41" s="3"/>
      <c r="W41" s="27"/>
      <c r="Y41" s="51"/>
      <c r="Z41" s="12"/>
      <c r="AA41" s="3"/>
      <c r="AB41" s="27"/>
      <c r="AD41" s="51"/>
      <c r="AE41" s="12"/>
      <c r="AF41" s="3"/>
      <c r="AG41" s="27"/>
      <c r="AI41" s="51"/>
      <c r="AJ41" s="12"/>
      <c r="AK41" s="3"/>
      <c r="AL41" s="27"/>
      <c r="AN41" s="51"/>
      <c r="AO41" s="12"/>
      <c r="AP41" s="3"/>
      <c r="AQ41" s="27"/>
      <c r="AS41" s="51"/>
      <c r="AT41" s="12"/>
      <c r="AU41" s="3"/>
      <c r="AV41" s="27"/>
      <c r="AX41" s="51"/>
      <c r="AY41" s="12"/>
      <c r="AZ41" s="3"/>
      <c r="BA41" s="27"/>
      <c r="BC41" s="51"/>
      <c r="BD41" s="12"/>
      <c r="BE41" s="3"/>
      <c r="BF41" s="27"/>
      <c r="BH41" s="51"/>
      <c r="BI41" s="12"/>
      <c r="BJ41" s="3"/>
      <c r="BK41" s="27"/>
      <c r="BM41" s="51"/>
      <c r="BN41" s="12"/>
      <c r="BO41" s="3"/>
      <c r="BP41" s="27"/>
      <c r="BR41" s="51"/>
      <c r="BS41" s="12"/>
      <c r="BT41" s="3"/>
      <c r="BU41" s="27"/>
      <c r="BW41" s="51"/>
      <c r="BX41" s="12"/>
      <c r="BY41" s="3"/>
      <c r="BZ41" s="27"/>
      <c r="CB41" s="51"/>
      <c r="CC41" s="12"/>
      <c r="CD41" s="3"/>
      <c r="CE41" s="27"/>
      <c r="CG41" s="51"/>
      <c r="CH41" s="12"/>
      <c r="CI41" s="3"/>
      <c r="CJ41" s="27"/>
    </row>
    <row r="42" spans="4:89" ht="12.75" customHeight="1" thickBot="1" x14ac:dyDescent="0.25">
      <c r="O42" s="43">
        <v>27</v>
      </c>
      <c r="P42" s="640" t="s">
        <v>342</v>
      </c>
      <c r="Q42" s="677">
        <f>VLOOKUP(P42,Apoio!C:E,2,0)</f>
        <v>216040</v>
      </c>
      <c r="R42" s="641" t="s">
        <v>316</v>
      </c>
      <c r="S42" s="378">
        <v>5</v>
      </c>
      <c r="T42" s="52">
        <v>1</v>
      </c>
      <c r="U42" s="31"/>
      <c r="V42" s="9"/>
      <c r="W42" s="67"/>
      <c r="Y42" s="52">
        <v>1</v>
      </c>
      <c r="Z42" s="31"/>
      <c r="AA42" s="9"/>
      <c r="AB42" s="67"/>
      <c r="AD42" s="52">
        <v>1</v>
      </c>
      <c r="AE42" s="31">
        <v>39965</v>
      </c>
      <c r="AF42" s="9">
        <v>0</v>
      </c>
      <c r="AG42" s="67" t="e">
        <f>IF(AD42&lt;'DADOS DOS EMPREENDIMENTOS'!AF$11,0,IF(AD42='DADOS DOS EMPREENDIMENTOS'!AF$11,SUM(AF$41:AF42)*(1-'DADOS DOS EMPREENDIMENTOS'!#REF!-'DADOS DOS EMPREENDIMENTOS'!#REF!)+'DADOS DOS EMPREENDIMENTOS'!#REF!,IF(AD42='DADOS DOS EMPREENDIMENTOS'!#REF!,'DADOS DOS EMPREENDIMENTOS'!#REF!,AF42*(1-'DADOS DOS EMPREENDIMENTOS'!#REF!-'DADOS DOS EMPREENDIMENTOS'!#REF!))))</f>
        <v>#REF!</v>
      </c>
      <c r="AI42" s="52">
        <v>1</v>
      </c>
      <c r="AJ42" s="31">
        <v>39965</v>
      </c>
      <c r="AK42" s="9">
        <v>0</v>
      </c>
      <c r="AL42" s="67" t="e">
        <f>IF(AI42&lt;'DADOS DOS EMPREENDIMENTOS'!AK$11,0,IF(AI42='DADOS DOS EMPREENDIMENTOS'!AK$11,SUM(AK$41:AK42)*(1-'DADOS DOS EMPREENDIMENTOS'!#REF!-'DADOS DOS EMPREENDIMENTOS'!#REF!)+'DADOS DOS EMPREENDIMENTOS'!#REF!,IF(AI42='DADOS DOS EMPREENDIMENTOS'!#REF!,'DADOS DOS EMPREENDIMENTOS'!#REF!,AK42*(1-'DADOS DOS EMPREENDIMENTOS'!#REF!-'DADOS DOS EMPREENDIMENTOS'!#REF!))))</f>
        <v>#REF!</v>
      </c>
      <c r="AN42" s="52">
        <v>1</v>
      </c>
      <c r="AO42" s="31">
        <v>39965</v>
      </c>
      <c r="AP42" s="9">
        <v>0</v>
      </c>
      <c r="AQ42" s="67" t="e">
        <f>IF(AN42&lt;'DADOS DOS EMPREENDIMENTOS'!AP$11,0,IF(AN42='DADOS DOS EMPREENDIMENTOS'!AP$11,SUM(AP$41:AP42)*(1-'DADOS DOS EMPREENDIMENTOS'!#REF!-'DADOS DOS EMPREENDIMENTOS'!#REF!)+'DADOS DOS EMPREENDIMENTOS'!#REF!,IF(AN42='DADOS DOS EMPREENDIMENTOS'!#REF!,'DADOS DOS EMPREENDIMENTOS'!#REF!,AP42*(1-'DADOS DOS EMPREENDIMENTOS'!#REF!-'DADOS DOS EMPREENDIMENTOS'!#REF!))))</f>
        <v>#REF!</v>
      </c>
      <c r="AS42" s="52">
        <v>1</v>
      </c>
      <c r="AT42" s="31">
        <v>39965</v>
      </c>
      <c r="AU42" s="9">
        <v>0</v>
      </c>
      <c r="AV42" s="67" t="e">
        <f>IF(AS42&lt;'DADOS DOS EMPREENDIMENTOS'!AU$11,0,IF(AS42='DADOS DOS EMPREENDIMENTOS'!AU$11,SUM(AU$41:AU42)*(1-'DADOS DOS EMPREENDIMENTOS'!#REF!-'DADOS DOS EMPREENDIMENTOS'!#REF!)+'DADOS DOS EMPREENDIMENTOS'!#REF!,IF(AS42='DADOS DOS EMPREENDIMENTOS'!#REF!,'DADOS DOS EMPREENDIMENTOS'!#REF!,AU42*(1-'DADOS DOS EMPREENDIMENTOS'!#REF!-'DADOS DOS EMPREENDIMENTOS'!#REF!))))</f>
        <v>#REF!</v>
      </c>
      <c r="AX42" s="52">
        <v>1</v>
      </c>
      <c r="AY42" s="31">
        <v>39965</v>
      </c>
      <c r="AZ42" s="9">
        <v>0</v>
      </c>
      <c r="BA42" s="67" t="e">
        <f>IF(AX42&lt;'DADOS DOS EMPREENDIMENTOS'!AZ$11,0,IF(AX42='DADOS DOS EMPREENDIMENTOS'!AZ$11,SUM(AZ$41:AZ42)*(1-'DADOS DOS EMPREENDIMENTOS'!#REF!-'DADOS DOS EMPREENDIMENTOS'!#REF!)+'DADOS DOS EMPREENDIMENTOS'!#REF!,IF(AX42='DADOS DOS EMPREENDIMENTOS'!#REF!,'DADOS DOS EMPREENDIMENTOS'!#REF!,AZ42*(1-'DADOS DOS EMPREENDIMENTOS'!#REF!-'DADOS DOS EMPREENDIMENTOS'!#REF!))))</f>
        <v>#REF!</v>
      </c>
      <c r="BC42" s="52">
        <v>1</v>
      </c>
      <c r="BD42" s="31">
        <v>39965</v>
      </c>
      <c r="BE42" s="9">
        <v>0</v>
      </c>
      <c r="BF42" s="67" t="e">
        <f>IF(BC42&lt;'DADOS DOS EMPREENDIMENTOS'!BE$11,0,IF(BC42='DADOS DOS EMPREENDIMENTOS'!BE$11,SUM(BE$41:BE42)*(1-'DADOS DOS EMPREENDIMENTOS'!#REF!-'DADOS DOS EMPREENDIMENTOS'!#REF!)+'DADOS DOS EMPREENDIMENTOS'!#REF!,IF(BC42='DADOS DOS EMPREENDIMENTOS'!#REF!,'DADOS DOS EMPREENDIMENTOS'!#REF!,BE42*(1-'DADOS DOS EMPREENDIMENTOS'!#REF!-'DADOS DOS EMPREENDIMENTOS'!#REF!))))</f>
        <v>#REF!</v>
      </c>
      <c r="BH42" s="52">
        <v>1</v>
      </c>
      <c r="BI42" s="31">
        <v>39965</v>
      </c>
      <c r="BJ42" s="9">
        <v>0</v>
      </c>
      <c r="BK42" s="67" t="e">
        <f>IF(BH42&lt;'DADOS DOS EMPREENDIMENTOS'!BJ$11,0,IF(BH42='DADOS DOS EMPREENDIMENTOS'!BJ$11,SUM(BJ$41:BJ42)*(1-'DADOS DOS EMPREENDIMENTOS'!#REF!-'DADOS DOS EMPREENDIMENTOS'!#REF!)+'DADOS DOS EMPREENDIMENTOS'!#REF!,IF(BH42='DADOS DOS EMPREENDIMENTOS'!#REF!,'DADOS DOS EMPREENDIMENTOS'!#REF!,BJ42*(1-'DADOS DOS EMPREENDIMENTOS'!#REF!-'DADOS DOS EMPREENDIMENTOS'!#REF!))))</f>
        <v>#REF!</v>
      </c>
      <c r="BM42" s="52">
        <v>1</v>
      </c>
      <c r="BN42" s="31">
        <v>39965</v>
      </c>
      <c r="BO42" s="9">
        <v>0</v>
      </c>
      <c r="BP42" s="67" t="e">
        <f>IF(BM42&lt;'DADOS DOS EMPREENDIMENTOS'!BO$11,0,IF(BM42='DADOS DOS EMPREENDIMENTOS'!BO$11,SUM(BO$41:BO42)*(1-'DADOS DOS EMPREENDIMENTOS'!#REF!-'DADOS DOS EMPREENDIMENTOS'!#REF!)+'DADOS DOS EMPREENDIMENTOS'!#REF!,IF(BM42='DADOS DOS EMPREENDIMENTOS'!BO$12,'DADOS DOS EMPREENDIMENTOS'!#REF!,BO42*(1-'DADOS DOS EMPREENDIMENTOS'!#REF!-'DADOS DOS EMPREENDIMENTOS'!#REF!))))</f>
        <v>#REF!</v>
      </c>
      <c r="BR42" s="52">
        <v>1</v>
      </c>
      <c r="BS42" s="31">
        <v>39965</v>
      </c>
      <c r="BT42" s="9">
        <v>0</v>
      </c>
      <c r="BU42" s="67" t="e">
        <f>IF(BR42&lt;'DADOS DOS EMPREENDIMENTOS'!BT$11,0,IF(BR42='DADOS DOS EMPREENDIMENTOS'!BT$11,SUM(BT$41:BT42)*(1-'DADOS DOS EMPREENDIMENTOS'!#REF!-'DADOS DOS EMPREENDIMENTOS'!#REF!)+'DADOS DOS EMPREENDIMENTOS'!#REF!,IF(BR42='DADOS DOS EMPREENDIMENTOS'!BT$12,'DADOS DOS EMPREENDIMENTOS'!#REF!,BT42*(1-'DADOS DOS EMPREENDIMENTOS'!#REF!-'DADOS DOS EMPREENDIMENTOS'!#REF!))))</f>
        <v>#REF!</v>
      </c>
      <c r="BW42" s="52">
        <v>1</v>
      </c>
      <c r="BX42" s="31">
        <v>39965</v>
      </c>
      <c r="BY42" s="9">
        <v>0</v>
      </c>
      <c r="BZ42" s="67" t="e">
        <f>IF(BW42&lt;'DADOS DOS EMPREENDIMENTOS'!BY$11,0,IF(BW42='DADOS DOS EMPREENDIMENTOS'!BY$11,SUM(BY$41:BY42)*(1-'DADOS DOS EMPREENDIMENTOS'!#REF!-'DADOS DOS EMPREENDIMENTOS'!#REF!)+'DADOS DOS EMPREENDIMENTOS'!#REF!,IF(BW42='DADOS DOS EMPREENDIMENTOS'!BY$12,'DADOS DOS EMPREENDIMENTOS'!#REF!,BY42*(1-'DADOS DOS EMPREENDIMENTOS'!#REF!-'DADOS DOS EMPREENDIMENTOS'!#REF!))))</f>
        <v>#REF!</v>
      </c>
      <c r="CB42" s="52">
        <v>1</v>
      </c>
      <c r="CC42" s="31">
        <v>39965</v>
      </c>
      <c r="CD42" s="9">
        <v>0</v>
      </c>
      <c r="CE42" s="67" t="e">
        <f>IF(CB42&lt;'DADOS DOS EMPREENDIMENTOS'!CD$11,0,IF(CB42='DADOS DOS EMPREENDIMENTOS'!CD$11,SUM(CD$41:CD42)*(1-'DADOS DOS EMPREENDIMENTOS'!#REF!-'DADOS DOS EMPREENDIMENTOS'!#REF!)+'DADOS DOS EMPREENDIMENTOS'!#REF!,IF(CB42='DADOS DOS EMPREENDIMENTOS'!CD$12,'DADOS DOS EMPREENDIMENTOS'!#REF!,CD42*(1-'DADOS DOS EMPREENDIMENTOS'!#REF!-'DADOS DOS EMPREENDIMENTOS'!#REF!))))</f>
        <v>#REF!</v>
      </c>
      <c r="CG42" s="52"/>
      <c r="CH42" s="31"/>
      <c r="CI42" s="9"/>
      <c r="CJ42" s="67"/>
    </row>
    <row r="43" spans="4:89" ht="12.75" customHeight="1" thickBot="1" x14ac:dyDescent="0.25">
      <c r="O43" s="45">
        <v>28</v>
      </c>
      <c r="P43" s="640" t="s">
        <v>343</v>
      </c>
      <c r="Q43" s="677">
        <f>VLOOKUP(P43,Apoio!C:E,2,0)</f>
        <v>215920</v>
      </c>
      <c r="R43" s="641" t="s">
        <v>316</v>
      </c>
      <c r="S43" s="378">
        <v>5</v>
      </c>
      <c r="T43" s="52">
        <v>2</v>
      </c>
      <c r="U43" s="31"/>
      <c r="V43" s="9"/>
      <c r="W43" s="67"/>
      <c r="Y43" s="52">
        <v>2</v>
      </c>
      <c r="Z43" s="31"/>
      <c r="AA43" s="9"/>
      <c r="AB43" s="67"/>
      <c r="AD43" s="52">
        <v>2</v>
      </c>
      <c r="AE43" s="31">
        <v>39995</v>
      </c>
      <c r="AF43" s="9">
        <v>0</v>
      </c>
      <c r="AG43" s="67" t="e">
        <f>IF(AD43&lt;'DADOS DOS EMPREENDIMENTOS'!AF$11,0,IF(AD43='DADOS DOS EMPREENDIMENTOS'!AF$11,SUM(AF$41:AF43)*(1-'DADOS DOS EMPREENDIMENTOS'!#REF!-'DADOS DOS EMPREENDIMENTOS'!#REF!)+'DADOS DOS EMPREENDIMENTOS'!#REF!,IF(AD43='DADOS DOS EMPREENDIMENTOS'!#REF!,'DADOS DOS EMPREENDIMENTOS'!#REF!,AF43*(1-'DADOS DOS EMPREENDIMENTOS'!#REF!-'DADOS DOS EMPREENDIMENTOS'!#REF!))))</f>
        <v>#REF!</v>
      </c>
      <c r="AI43" s="52">
        <v>2</v>
      </c>
      <c r="AJ43" s="31">
        <v>39995</v>
      </c>
      <c r="AK43" s="9">
        <v>0</v>
      </c>
      <c r="AL43" s="67" t="e">
        <f>IF(AI43&lt;'DADOS DOS EMPREENDIMENTOS'!AK$11,0,IF(AI43='DADOS DOS EMPREENDIMENTOS'!AK$11,SUM(AK$41:AK43)*(1-'DADOS DOS EMPREENDIMENTOS'!#REF!-'DADOS DOS EMPREENDIMENTOS'!#REF!)+'DADOS DOS EMPREENDIMENTOS'!#REF!,IF(AI43='DADOS DOS EMPREENDIMENTOS'!#REF!,'DADOS DOS EMPREENDIMENTOS'!#REF!,AK43*(1-'DADOS DOS EMPREENDIMENTOS'!#REF!-'DADOS DOS EMPREENDIMENTOS'!#REF!))))</f>
        <v>#REF!</v>
      </c>
      <c r="AN43" s="52">
        <v>2</v>
      </c>
      <c r="AO43" s="31">
        <v>39995</v>
      </c>
      <c r="AP43" s="9">
        <v>0</v>
      </c>
      <c r="AQ43" s="67" t="e">
        <f>IF(AN43&lt;'DADOS DOS EMPREENDIMENTOS'!AP$11,0,IF(AN43='DADOS DOS EMPREENDIMENTOS'!AP$11,SUM(AP$41:AP43)*(1-'DADOS DOS EMPREENDIMENTOS'!#REF!-'DADOS DOS EMPREENDIMENTOS'!#REF!)+'DADOS DOS EMPREENDIMENTOS'!#REF!,IF(AN43='DADOS DOS EMPREENDIMENTOS'!#REF!,'DADOS DOS EMPREENDIMENTOS'!#REF!,AP43*(1-'DADOS DOS EMPREENDIMENTOS'!#REF!-'DADOS DOS EMPREENDIMENTOS'!#REF!))))</f>
        <v>#REF!</v>
      </c>
      <c r="AS43" s="52">
        <v>2</v>
      </c>
      <c r="AT43" s="31">
        <v>39995</v>
      </c>
      <c r="AU43" s="9">
        <v>0</v>
      </c>
      <c r="AV43" s="67" t="e">
        <f>IF(AS43&lt;'DADOS DOS EMPREENDIMENTOS'!AU$11,0,IF(AS43='DADOS DOS EMPREENDIMENTOS'!AU$11,SUM(AU$41:AU43)*(1-'DADOS DOS EMPREENDIMENTOS'!#REF!-'DADOS DOS EMPREENDIMENTOS'!#REF!)+'DADOS DOS EMPREENDIMENTOS'!#REF!,IF(AS43='DADOS DOS EMPREENDIMENTOS'!#REF!,'DADOS DOS EMPREENDIMENTOS'!#REF!,AU43*(1-'DADOS DOS EMPREENDIMENTOS'!#REF!-'DADOS DOS EMPREENDIMENTOS'!#REF!))))</f>
        <v>#REF!</v>
      </c>
      <c r="AX43" s="52">
        <v>2</v>
      </c>
      <c r="AY43" s="31">
        <v>39995</v>
      </c>
      <c r="AZ43" s="9">
        <v>0</v>
      </c>
      <c r="BA43" s="67" t="e">
        <f>IF(AX43&lt;'DADOS DOS EMPREENDIMENTOS'!AZ$11,0,IF(AX43='DADOS DOS EMPREENDIMENTOS'!AZ$11,SUM(AZ$41:AZ43)*(1-'DADOS DOS EMPREENDIMENTOS'!#REF!-'DADOS DOS EMPREENDIMENTOS'!#REF!)+'DADOS DOS EMPREENDIMENTOS'!#REF!,IF(AX43='DADOS DOS EMPREENDIMENTOS'!#REF!,'DADOS DOS EMPREENDIMENTOS'!#REF!,AZ43*(1-'DADOS DOS EMPREENDIMENTOS'!#REF!-'DADOS DOS EMPREENDIMENTOS'!#REF!))))</f>
        <v>#REF!</v>
      </c>
      <c r="BC43" s="52">
        <v>2</v>
      </c>
      <c r="BD43" s="31">
        <v>39995</v>
      </c>
      <c r="BE43" s="9">
        <v>0</v>
      </c>
      <c r="BF43" s="67" t="e">
        <f>IF(BC43&lt;'DADOS DOS EMPREENDIMENTOS'!BE$11,0,IF(BC43='DADOS DOS EMPREENDIMENTOS'!BE$11,SUM(BE$41:BE43)*(1-'DADOS DOS EMPREENDIMENTOS'!#REF!-'DADOS DOS EMPREENDIMENTOS'!#REF!)+'DADOS DOS EMPREENDIMENTOS'!#REF!,IF(BC43='DADOS DOS EMPREENDIMENTOS'!#REF!,'DADOS DOS EMPREENDIMENTOS'!#REF!,BE43*(1-'DADOS DOS EMPREENDIMENTOS'!#REF!-'DADOS DOS EMPREENDIMENTOS'!#REF!))))</f>
        <v>#REF!</v>
      </c>
      <c r="BH43" s="52">
        <v>2</v>
      </c>
      <c r="BI43" s="31">
        <v>39995</v>
      </c>
      <c r="BJ43" s="9">
        <v>0</v>
      </c>
      <c r="BK43" s="67" t="e">
        <f>IF(BH43&lt;'DADOS DOS EMPREENDIMENTOS'!BJ$11,0,IF(BH43='DADOS DOS EMPREENDIMENTOS'!BJ$11,SUM(BJ$41:BJ43)*(1-'DADOS DOS EMPREENDIMENTOS'!#REF!-'DADOS DOS EMPREENDIMENTOS'!#REF!)+'DADOS DOS EMPREENDIMENTOS'!#REF!,IF(BH43='DADOS DOS EMPREENDIMENTOS'!#REF!,'DADOS DOS EMPREENDIMENTOS'!#REF!,BJ43*(1-'DADOS DOS EMPREENDIMENTOS'!#REF!-'DADOS DOS EMPREENDIMENTOS'!#REF!))))</f>
        <v>#REF!</v>
      </c>
      <c r="BM43" s="52">
        <v>2</v>
      </c>
      <c r="BN43" s="31">
        <v>39995</v>
      </c>
      <c r="BO43" s="9">
        <v>0</v>
      </c>
      <c r="BP43" s="67" t="e">
        <f>IF(BM43&lt;'DADOS DOS EMPREENDIMENTOS'!BO$11,0,IF(BM43='DADOS DOS EMPREENDIMENTOS'!BO$11,SUM(BO$41:BO43)*(1-'DADOS DOS EMPREENDIMENTOS'!#REF!-'DADOS DOS EMPREENDIMENTOS'!#REF!)+'DADOS DOS EMPREENDIMENTOS'!#REF!,IF(BM43='DADOS DOS EMPREENDIMENTOS'!BO$12,'DADOS DOS EMPREENDIMENTOS'!#REF!,BO43*(1-'DADOS DOS EMPREENDIMENTOS'!#REF!-'DADOS DOS EMPREENDIMENTOS'!#REF!))))</f>
        <v>#REF!</v>
      </c>
      <c r="BR43" s="52">
        <v>2</v>
      </c>
      <c r="BS43" s="31">
        <v>39995</v>
      </c>
      <c r="BT43" s="9">
        <v>0</v>
      </c>
      <c r="BU43" s="67" t="e">
        <f>IF(BR43&lt;'DADOS DOS EMPREENDIMENTOS'!BT$11,0,IF(BR43='DADOS DOS EMPREENDIMENTOS'!BT$11,SUM(BT$41:BT43)*(1-'DADOS DOS EMPREENDIMENTOS'!#REF!-'DADOS DOS EMPREENDIMENTOS'!#REF!)+'DADOS DOS EMPREENDIMENTOS'!#REF!,IF(BR43='DADOS DOS EMPREENDIMENTOS'!BT$12,'DADOS DOS EMPREENDIMENTOS'!#REF!,BT43*(1-'DADOS DOS EMPREENDIMENTOS'!#REF!-'DADOS DOS EMPREENDIMENTOS'!#REF!))))</f>
        <v>#REF!</v>
      </c>
      <c r="BW43" s="52">
        <v>2</v>
      </c>
      <c r="BX43" s="31">
        <v>39995</v>
      </c>
      <c r="BY43" s="9">
        <v>0</v>
      </c>
      <c r="BZ43" s="67" t="e">
        <f>IF(BW43&lt;'DADOS DOS EMPREENDIMENTOS'!BY$11,0,IF(BW43='DADOS DOS EMPREENDIMENTOS'!BY$11,SUM(BY$41:BY43)*(1-'DADOS DOS EMPREENDIMENTOS'!#REF!-'DADOS DOS EMPREENDIMENTOS'!#REF!)+'DADOS DOS EMPREENDIMENTOS'!#REF!,IF(BW43='DADOS DOS EMPREENDIMENTOS'!BY$12,'DADOS DOS EMPREENDIMENTOS'!#REF!,BY43*(1-'DADOS DOS EMPREENDIMENTOS'!#REF!-'DADOS DOS EMPREENDIMENTOS'!#REF!))))</f>
        <v>#REF!</v>
      </c>
      <c r="CB43" s="52">
        <v>2</v>
      </c>
      <c r="CC43" s="31">
        <v>39995</v>
      </c>
      <c r="CD43" s="9">
        <v>0</v>
      </c>
      <c r="CE43" s="67" t="e">
        <f>IF(CB43&lt;'DADOS DOS EMPREENDIMENTOS'!CD$11,0,IF(CB43='DADOS DOS EMPREENDIMENTOS'!CD$11,SUM(CD$41:CD43)*(1-'DADOS DOS EMPREENDIMENTOS'!#REF!-'DADOS DOS EMPREENDIMENTOS'!#REF!)+'DADOS DOS EMPREENDIMENTOS'!#REF!,IF(CB43='DADOS DOS EMPREENDIMENTOS'!CD$12,'DADOS DOS EMPREENDIMENTOS'!#REF!,CD43*(1-'DADOS DOS EMPREENDIMENTOS'!#REF!-'DADOS DOS EMPREENDIMENTOS'!#REF!))))</f>
        <v>#REF!</v>
      </c>
      <c r="CG43" s="52"/>
      <c r="CH43" s="31"/>
      <c r="CI43" s="9"/>
      <c r="CJ43" s="67"/>
    </row>
    <row r="44" spans="4:89" ht="12.75" customHeight="1" thickBot="1" x14ac:dyDescent="0.25">
      <c r="O44" s="43">
        <v>29</v>
      </c>
      <c r="P44" s="640" t="s">
        <v>344</v>
      </c>
      <c r="Q44" s="677">
        <f>VLOOKUP(P44,Apoio!C:E,2,0)</f>
        <v>215940</v>
      </c>
      <c r="R44" s="641" t="s">
        <v>316</v>
      </c>
      <c r="S44" s="378">
        <v>5</v>
      </c>
      <c r="T44" s="52">
        <v>3</v>
      </c>
      <c r="U44" s="31"/>
      <c r="V44" s="9"/>
      <c r="W44" s="67"/>
      <c r="Y44" s="52">
        <v>3</v>
      </c>
      <c r="Z44" s="31"/>
      <c r="AA44" s="9"/>
      <c r="AB44" s="67"/>
      <c r="AD44" s="52">
        <v>3</v>
      </c>
      <c r="AE44" s="31">
        <v>40026</v>
      </c>
      <c r="AF44" s="9">
        <v>0</v>
      </c>
      <c r="AG44" s="67" t="e">
        <f>IF(AD44&lt;'DADOS DOS EMPREENDIMENTOS'!AF$11,0,IF(AD44='DADOS DOS EMPREENDIMENTOS'!AF$11,SUM(AF$41:AF44)*(1-'DADOS DOS EMPREENDIMENTOS'!#REF!-'DADOS DOS EMPREENDIMENTOS'!#REF!)+'DADOS DOS EMPREENDIMENTOS'!#REF!,IF(AD44='DADOS DOS EMPREENDIMENTOS'!#REF!,'DADOS DOS EMPREENDIMENTOS'!#REF!,AF44*(1-'DADOS DOS EMPREENDIMENTOS'!#REF!-'DADOS DOS EMPREENDIMENTOS'!#REF!))))</f>
        <v>#REF!</v>
      </c>
      <c r="AI44" s="52">
        <v>3</v>
      </c>
      <c r="AJ44" s="31">
        <v>40026</v>
      </c>
      <c r="AK44" s="9">
        <v>0</v>
      </c>
      <c r="AL44" s="67" t="e">
        <f>IF(AI44&lt;'DADOS DOS EMPREENDIMENTOS'!AK$11,0,IF(AI44='DADOS DOS EMPREENDIMENTOS'!AK$11,SUM(AK$41:AK44)*(1-'DADOS DOS EMPREENDIMENTOS'!#REF!-'DADOS DOS EMPREENDIMENTOS'!#REF!)+'DADOS DOS EMPREENDIMENTOS'!#REF!,IF(AI44='DADOS DOS EMPREENDIMENTOS'!#REF!,'DADOS DOS EMPREENDIMENTOS'!#REF!,AK44*(1-'DADOS DOS EMPREENDIMENTOS'!#REF!-'DADOS DOS EMPREENDIMENTOS'!#REF!))))</f>
        <v>#REF!</v>
      </c>
      <c r="AN44" s="52">
        <v>3</v>
      </c>
      <c r="AO44" s="31">
        <v>40026</v>
      </c>
      <c r="AP44" s="9">
        <v>0</v>
      </c>
      <c r="AQ44" s="67" t="e">
        <f>IF(AN44&lt;'DADOS DOS EMPREENDIMENTOS'!AP$11,0,IF(AN44='DADOS DOS EMPREENDIMENTOS'!AP$11,SUM(AP$41:AP44)*(1-'DADOS DOS EMPREENDIMENTOS'!#REF!-'DADOS DOS EMPREENDIMENTOS'!#REF!)+'DADOS DOS EMPREENDIMENTOS'!#REF!,IF(AN44='DADOS DOS EMPREENDIMENTOS'!#REF!,'DADOS DOS EMPREENDIMENTOS'!#REF!,AP44*(1-'DADOS DOS EMPREENDIMENTOS'!#REF!-'DADOS DOS EMPREENDIMENTOS'!#REF!))))</f>
        <v>#REF!</v>
      </c>
      <c r="AS44" s="52">
        <v>3</v>
      </c>
      <c r="AT44" s="31">
        <v>40026</v>
      </c>
      <c r="AU44" s="9">
        <v>0</v>
      </c>
      <c r="AV44" s="67" t="e">
        <f>IF(AS44&lt;'DADOS DOS EMPREENDIMENTOS'!AU$11,0,IF(AS44='DADOS DOS EMPREENDIMENTOS'!AU$11,SUM(AU$41:AU44)*(1-'DADOS DOS EMPREENDIMENTOS'!#REF!-'DADOS DOS EMPREENDIMENTOS'!#REF!)+'DADOS DOS EMPREENDIMENTOS'!#REF!,IF(AS44='DADOS DOS EMPREENDIMENTOS'!#REF!,'DADOS DOS EMPREENDIMENTOS'!#REF!,AU44*(1-'DADOS DOS EMPREENDIMENTOS'!#REF!-'DADOS DOS EMPREENDIMENTOS'!#REF!))))</f>
        <v>#REF!</v>
      </c>
      <c r="AX44" s="52">
        <v>3</v>
      </c>
      <c r="AY44" s="31">
        <v>40026</v>
      </c>
      <c r="AZ44" s="9">
        <v>0</v>
      </c>
      <c r="BA44" s="67" t="e">
        <f>IF(AX44&lt;'DADOS DOS EMPREENDIMENTOS'!AZ$11,0,IF(AX44='DADOS DOS EMPREENDIMENTOS'!AZ$11,SUM(AZ$41:AZ44)*(1-'DADOS DOS EMPREENDIMENTOS'!#REF!-'DADOS DOS EMPREENDIMENTOS'!#REF!)+'DADOS DOS EMPREENDIMENTOS'!#REF!,IF(AX44='DADOS DOS EMPREENDIMENTOS'!#REF!,'DADOS DOS EMPREENDIMENTOS'!#REF!,AZ44*(1-'DADOS DOS EMPREENDIMENTOS'!#REF!-'DADOS DOS EMPREENDIMENTOS'!#REF!))))</f>
        <v>#REF!</v>
      </c>
      <c r="BC44" s="52">
        <v>3</v>
      </c>
      <c r="BD44" s="31">
        <v>40026</v>
      </c>
      <c r="BE44" s="9">
        <v>0</v>
      </c>
      <c r="BF44" s="67" t="e">
        <f>IF(BC44&lt;'DADOS DOS EMPREENDIMENTOS'!BE$11,0,IF(BC44='DADOS DOS EMPREENDIMENTOS'!BE$11,SUM(BE$41:BE44)*(1-'DADOS DOS EMPREENDIMENTOS'!#REF!-'DADOS DOS EMPREENDIMENTOS'!#REF!)+'DADOS DOS EMPREENDIMENTOS'!#REF!,IF(BC44='DADOS DOS EMPREENDIMENTOS'!#REF!,'DADOS DOS EMPREENDIMENTOS'!#REF!,BE44*(1-'DADOS DOS EMPREENDIMENTOS'!#REF!-'DADOS DOS EMPREENDIMENTOS'!#REF!))))</f>
        <v>#REF!</v>
      </c>
      <c r="BH44" s="52">
        <v>3</v>
      </c>
      <c r="BI44" s="31">
        <v>40026</v>
      </c>
      <c r="BJ44" s="9">
        <v>0</v>
      </c>
      <c r="BK44" s="67" t="e">
        <f>IF(BH44&lt;'DADOS DOS EMPREENDIMENTOS'!BJ$11,0,IF(BH44='DADOS DOS EMPREENDIMENTOS'!BJ$11,SUM(BJ$41:BJ44)*(1-'DADOS DOS EMPREENDIMENTOS'!#REF!-'DADOS DOS EMPREENDIMENTOS'!#REF!)+'DADOS DOS EMPREENDIMENTOS'!#REF!,IF(BH44='DADOS DOS EMPREENDIMENTOS'!#REF!,'DADOS DOS EMPREENDIMENTOS'!#REF!,BJ44*(1-'DADOS DOS EMPREENDIMENTOS'!#REF!-'DADOS DOS EMPREENDIMENTOS'!#REF!))))</f>
        <v>#REF!</v>
      </c>
      <c r="BM44" s="52">
        <v>3</v>
      </c>
      <c r="BN44" s="31">
        <v>40026</v>
      </c>
      <c r="BO44" s="9">
        <v>0</v>
      </c>
      <c r="BP44" s="67" t="e">
        <f>IF(BM44&lt;'DADOS DOS EMPREENDIMENTOS'!BO$11,0,IF(BM44='DADOS DOS EMPREENDIMENTOS'!BO$11,SUM(BO$41:BO44)*(1-'DADOS DOS EMPREENDIMENTOS'!#REF!-'DADOS DOS EMPREENDIMENTOS'!#REF!)+'DADOS DOS EMPREENDIMENTOS'!#REF!,IF(BM44='DADOS DOS EMPREENDIMENTOS'!BO$12,'DADOS DOS EMPREENDIMENTOS'!#REF!,BO44*(1-'DADOS DOS EMPREENDIMENTOS'!#REF!-'DADOS DOS EMPREENDIMENTOS'!#REF!))))</f>
        <v>#REF!</v>
      </c>
      <c r="BR44" s="52">
        <v>3</v>
      </c>
      <c r="BS44" s="31">
        <v>40026</v>
      </c>
      <c r="BT44" s="9">
        <v>0</v>
      </c>
      <c r="BU44" s="67" t="e">
        <f>IF(BR44&lt;'DADOS DOS EMPREENDIMENTOS'!BT$11,0,IF(BR44='DADOS DOS EMPREENDIMENTOS'!BT$11,SUM(BT$41:BT44)*(1-'DADOS DOS EMPREENDIMENTOS'!#REF!-'DADOS DOS EMPREENDIMENTOS'!#REF!)+'DADOS DOS EMPREENDIMENTOS'!#REF!,IF(BR44='DADOS DOS EMPREENDIMENTOS'!BT$12,'DADOS DOS EMPREENDIMENTOS'!#REF!,BT44*(1-'DADOS DOS EMPREENDIMENTOS'!#REF!-'DADOS DOS EMPREENDIMENTOS'!#REF!))))</f>
        <v>#REF!</v>
      </c>
      <c r="BW44" s="52">
        <v>3</v>
      </c>
      <c r="BX44" s="31">
        <v>40026</v>
      </c>
      <c r="BY44" s="9">
        <v>0</v>
      </c>
      <c r="BZ44" s="67" t="e">
        <f>IF(BW44&lt;'DADOS DOS EMPREENDIMENTOS'!BY$11,0,IF(BW44='DADOS DOS EMPREENDIMENTOS'!BY$11,SUM(BY$41:BY44)*(1-'DADOS DOS EMPREENDIMENTOS'!#REF!-'DADOS DOS EMPREENDIMENTOS'!#REF!)+'DADOS DOS EMPREENDIMENTOS'!#REF!,IF(BW44='DADOS DOS EMPREENDIMENTOS'!BY$12,'DADOS DOS EMPREENDIMENTOS'!#REF!,BY44*(1-'DADOS DOS EMPREENDIMENTOS'!#REF!-'DADOS DOS EMPREENDIMENTOS'!#REF!))))</f>
        <v>#REF!</v>
      </c>
      <c r="CB44" s="52">
        <v>3</v>
      </c>
      <c r="CC44" s="31">
        <v>40026</v>
      </c>
      <c r="CD44" s="9">
        <v>0</v>
      </c>
      <c r="CE44" s="67" t="e">
        <f>IF(CB44&lt;'DADOS DOS EMPREENDIMENTOS'!CD$11,0,IF(CB44='DADOS DOS EMPREENDIMENTOS'!CD$11,SUM(CD$41:CD44)*(1-'DADOS DOS EMPREENDIMENTOS'!#REF!-'DADOS DOS EMPREENDIMENTOS'!#REF!)+'DADOS DOS EMPREENDIMENTOS'!#REF!,IF(CB44='DADOS DOS EMPREENDIMENTOS'!CD$12,'DADOS DOS EMPREENDIMENTOS'!#REF!,CD44*(1-'DADOS DOS EMPREENDIMENTOS'!#REF!-'DADOS DOS EMPREENDIMENTOS'!#REF!))))</f>
        <v>#REF!</v>
      </c>
      <c r="CG44" s="52"/>
      <c r="CH44" s="31"/>
      <c r="CI44" s="9"/>
      <c r="CJ44" s="67"/>
    </row>
    <row r="45" spans="4:89" ht="12.75" customHeight="1" thickBot="1" x14ac:dyDescent="0.25">
      <c r="O45" s="45">
        <v>30</v>
      </c>
      <c r="P45" s="640" t="s">
        <v>345</v>
      </c>
      <c r="Q45" s="677">
        <f>VLOOKUP(P45,Apoio!C:E,2,0)</f>
        <v>216040</v>
      </c>
      <c r="R45" s="641" t="s">
        <v>316</v>
      </c>
      <c r="S45" s="378">
        <v>5</v>
      </c>
      <c r="T45" s="52">
        <v>4</v>
      </c>
      <c r="U45" s="31"/>
      <c r="V45" s="9"/>
      <c r="W45" s="67"/>
      <c r="Y45" s="52">
        <v>4</v>
      </c>
      <c r="Z45" s="31"/>
      <c r="AA45" s="9"/>
      <c r="AB45" s="67"/>
      <c r="AD45" s="52">
        <v>4</v>
      </c>
      <c r="AE45" s="31">
        <v>40057</v>
      </c>
      <c r="AF45" s="9">
        <v>0</v>
      </c>
      <c r="AG45" s="67" t="e">
        <f>IF(AD45&lt;'DADOS DOS EMPREENDIMENTOS'!AF$11,0,IF(AD45='DADOS DOS EMPREENDIMENTOS'!AF$11,SUM(AF$41:AF45)*(1-'DADOS DOS EMPREENDIMENTOS'!#REF!-'DADOS DOS EMPREENDIMENTOS'!#REF!)+'DADOS DOS EMPREENDIMENTOS'!#REF!,IF(AD45='DADOS DOS EMPREENDIMENTOS'!#REF!,'DADOS DOS EMPREENDIMENTOS'!#REF!,AF45*(1-'DADOS DOS EMPREENDIMENTOS'!#REF!-'DADOS DOS EMPREENDIMENTOS'!#REF!))))</f>
        <v>#REF!</v>
      </c>
      <c r="AI45" s="52">
        <v>4</v>
      </c>
      <c r="AJ45" s="31">
        <v>40057</v>
      </c>
      <c r="AK45" s="9">
        <v>0</v>
      </c>
      <c r="AL45" s="67" t="e">
        <f>IF(AI45&lt;'DADOS DOS EMPREENDIMENTOS'!AK$11,0,IF(AI45='DADOS DOS EMPREENDIMENTOS'!AK$11,SUM(AK$41:AK45)*(1-'DADOS DOS EMPREENDIMENTOS'!#REF!-'DADOS DOS EMPREENDIMENTOS'!#REF!)+'DADOS DOS EMPREENDIMENTOS'!#REF!,IF(AI45='DADOS DOS EMPREENDIMENTOS'!#REF!,'DADOS DOS EMPREENDIMENTOS'!#REF!,AK45*(1-'DADOS DOS EMPREENDIMENTOS'!#REF!-'DADOS DOS EMPREENDIMENTOS'!#REF!))))</f>
        <v>#REF!</v>
      </c>
      <c r="AN45" s="52">
        <v>4</v>
      </c>
      <c r="AO45" s="31">
        <v>40057</v>
      </c>
      <c r="AP45" s="9">
        <v>0</v>
      </c>
      <c r="AQ45" s="67" t="e">
        <f>IF(AN45&lt;'DADOS DOS EMPREENDIMENTOS'!AP$11,0,IF(AN45='DADOS DOS EMPREENDIMENTOS'!AP$11,SUM(AP$41:AP45)*(1-'DADOS DOS EMPREENDIMENTOS'!#REF!-'DADOS DOS EMPREENDIMENTOS'!#REF!)+'DADOS DOS EMPREENDIMENTOS'!#REF!,IF(AN45='DADOS DOS EMPREENDIMENTOS'!#REF!,'DADOS DOS EMPREENDIMENTOS'!#REF!,AP45*(1-'DADOS DOS EMPREENDIMENTOS'!#REF!-'DADOS DOS EMPREENDIMENTOS'!#REF!))))</f>
        <v>#REF!</v>
      </c>
      <c r="AS45" s="52">
        <v>4</v>
      </c>
      <c r="AT45" s="31">
        <v>40057</v>
      </c>
      <c r="AU45" s="9">
        <v>0</v>
      </c>
      <c r="AV45" s="67" t="e">
        <f>IF(AS45&lt;'DADOS DOS EMPREENDIMENTOS'!AU$11,0,IF(AS45='DADOS DOS EMPREENDIMENTOS'!AU$11,SUM(AU$41:AU45)*(1-'DADOS DOS EMPREENDIMENTOS'!#REF!-'DADOS DOS EMPREENDIMENTOS'!#REF!)+'DADOS DOS EMPREENDIMENTOS'!#REF!,IF(AS45='DADOS DOS EMPREENDIMENTOS'!#REF!,'DADOS DOS EMPREENDIMENTOS'!#REF!,AU45*(1-'DADOS DOS EMPREENDIMENTOS'!#REF!-'DADOS DOS EMPREENDIMENTOS'!#REF!))))</f>
        <v>#REF!</v>
      </c>
      <c r="AX45" s="52">
        <v>4</v>
      </c>
      <c r="AY45" s="31">
        <v>40057</v>
      </c>
      <c r="AZ45" s="9">
        <v>0</v>
      </c>
      <c r="BA45" s="67" t="e">
        <f>IF(AX45&lt;'DADOS DOS EMPREENDIMENTOS'!AZ$11,0,IF(AX45='DADOS DOS EMPREENDIMENTOS'!AZ$11,SUM(AZ$41:AZ45)*(1-'DADOS DOS EMPREENDIMENTOS'!#REF!-'DADOS DOS EMPREENDIMENTOS'!#REF!)+'DADOS DOS EMPREENDIMENTOS'!#REF!,IF(AX45='DADOS DOS EMPREENDIMENTOS'!#REF!,'DADOS DOS EMPREENDIMENTOS'!#REF!,AZ45*(1-'DADOS DOS EMPREENDIMENTOS'!#REF!-'DADOS DOS EMPREENDIMENTOS'!#REF!))))</f>
        <v>#REF!</v>
      </c>
      <c r="BC45" s="52">
        <v>4</v>
      </c>
      <c r="BD45" s="31">
        <v>40057</v>
      </c>
      <c r="BE45" s="9">
        <v>0</v>
      </c>
      <c r="BF45" s="67" t="e">
        <f>IF(BC45&lt;'DADOS DOS EMPREENDIMENTOS'!BE$11,0,IF(BC45='DADOS DOS EMPREENDIMENTOS'!BE$11,SUM(BE$41:BE45)*(1-'DADOS DOS EMPREENDIMENTOS'!#REF!-'DADOS DOS EMPREENDIMENTOS'!#REF!)+'DADOS DOS EMPREENDIMENTOS'!#REF!,IF(BC45='DADOS DOS EMPREENDIMENTOS'!#REF!,'DADOS DOS EMPREENDIMENTOS'!#REF!,BE45*(1-'DADOS DOS EMPREENDIMENTOS'!#REF!-'DADOS DOS EMPREENDIMENTOS'!#REF!))))</f>
        <v>#REF!</v>
      </c>
      <c r="BH45" s="52">
        <v>4</v>
      </c>
      <c r="BI45" s="31">
        <v>40057</v>
      </c>
      <c r="BJ45" s="9">
        <v>0</v>
      </c>
      <c r="BK45" s="67" t="e">
        <f>IF(BH45&lt;'DADOS DOS EMPREENDIMENTOS'!BJ$11,0,IF(BH45='DADOS DOS EMPREENDIMENTOS'!BJ$11,SUM(BJ$41:BJ45)*(1-'DADOS DOS EMPREENDIMENTOS'!#REF!-'DADOS DOS EMPREENDIMENTOS'!#REF!)+'DADOS DOS EMPREENDIMENTOS'!#REF!,IF(BH45='DADOS DOS EMPREENDIMENTOS'!#REF!,'DADOS DOS EMPREENDIMENTOS'!#REF!,BJ45*(1-'DADOS DOS EMPREENDIMENTOS'!#REF!-'DADOS DOS EMPREENDIMENTOS'!#REF!))))</f>
        <v>#REF!</v>
      </c>
      <c r="BM45" s="52">
        <v>4</v>
      </c>
      <c r="BN45" s="31">
        <v>40057</v>
      </c>
      <c r="BO45" s="9">
        <v>0</v>
      </c>
      <c r="BP45" s="67" t="e">
        <f>IF(BM45&lt;'DADOS DOS EMPREENDIMENTOS'!BO$11,0,IF(BM45='DADOS DOS EMPREENDIMENTOS'!BO$11,SUM(BO$41:BO45)*(1-'DADOS DOS EMPREENDIMENTOS'!#REF!-'DADOS DOS EMPREENDIMENTOS'!#REF!)+'DADOS DOS EMPREENDIMENTOS'!#REF!,IF(BM45='DADOS DOS EMPREENDIMENTOS'!BO$12,'DADOS DOS EMPREENDIMENTOS'!#REF!,BO45*(1-'DADOS DOS EMPREENDIMENTOS'!#REF!-'DADOS DOS EMPREENDIMENTOS'!#REF!))))</f>
        <v>#REF!</v>
      </c>
      <c r="BR45" s="52">
        <v>4</v>
      </c>
      <c r="BS45" s="31">
        <v>40057</v>
      </c>
      <c r="BT45" s="9">
        <v>0</v>
      </c>
      <c r="BU45" s="67" t="e">
        <f>IF(BR45&lt;'DADOS DOS EMPREENDIMENTOS'!BT$11,0,IF(BR45='DADOS DOS EMPREENDIMENTOS'!BT$11,SUM(BT$41:BT45)*(1-'DADOS DOS EMPREENDIMENTOS'!#REF!-'DADOS DOS EMPREENDIMENTOS'!#REF!)+'DADOS DOS EMPREENDIMENTOS'!#REF!,IF(BR45='DADOS DOS EMPREENDIMENTOS'!BT$12,'DADOS DOS EMPREENDIMENTOS'!#REF!,BT45*(1-'DADOS DOS EMPREENDIMENTOS'!#REF!-'DADOS DOS EMPREENDIMENTOS'!#REF!))))</f>
        <v>#REF!</v>
      </c>
      <c r="BW45" s="52">
        <v>4</v>
      </c>
      <c r="BX45" s="31">
        <v>40057</v>
      </c>
      <c r="BY45" s="9">
        <v>0</v>
      </c>
      <c r="BZ45" s="67" t="e">
        <f>IF(BW45&lt;'DADOS DOS EMPREENDIMENTOS'!BY$11,0,IF(BW45='DADOS DOS EMPREENDIMENTOS'!BY$11,SUM(BY$41:BY45)*(1-'DADOS DOS EMPREENDIMENTOS'!#REF!-'DADOS DOS EMPREENDIMENTOS'!#REF!)+'DADOS DOS EMPREENDIMENTOS'!#REF!,IF(BW45='DADOS DOS EMPREENDIMENTOS'!BY$12,'DADOS DOS EMPREENDIMENTOS'!#REF!,BY45*(1-'DADOS DOS EMPREENDIMENTOS'!#REF!-'DADOS DOS EMPREENDIMENTOS'!#REF!))))</f>
        <v>#REF!</v>
      </c>
      <c r="CB45" s="52">
        <v>4</v>
      </c>
      <c r="CC45" s="31">
        <v>40057</v>
      </c>
      <c r="CD45" s="9">
        <v>0</v>
      </c>
      <c r="CE45" s="67" t="e">
        <f>IF(CB45&lt;'DADOS DOS EMPREENDIMENTOS'!CD$11,0,IF(CB45='DADOS DOS EMPREENDIMENTOS'!CD$11,SUM(CD$41:CD45)*(1-'DADOS DOS EMPREENDIMENTOS'!#REF!-'DADOS DOS EMPREENDIMENTOS'!#REF!)+'DADOS DOS EMPREENDIMENTOS'!#REF!,IF(CB45='DADOS DOS EMPREENDIMENTOS'!CD$12,'DADOS DOS EMPREENDIMENTOS'!#REF!,CD45*(1-'DADOS DOS EMPREENDIMENTOS'!#REF!-'DADOS DOS EMPREENDIMENTOS'!#REF!))))</f>
        <v>#REF!</v>
      </c>
      <c r="CG45" s="52"/>
      <c r="CH45" s="31"/>
      <c r="CI45" s="9"/>
      <c r="CJ45" s="67"/>
    </row>
    <row r="46" spans="4:89" ht="12.75" customHeight="1" thickBot="1" x14ac:dyDescent="0.25">
      <c r="O46" s="43">
        <v>31</v>
      </c>
      <c r="P46" s="640" t="s">
        <v>346</v>
      </c>
      <c r="Q46" s="677">
        <f>VLOOKUP(P46,Apoio!C:E,2,0)</f>
        <v>246040</v>
      </c>
      <c r="R46" s="641" t="s">
        <v>316</v>
      </c>
      <c r="S46" s="378">
        <v>5</v>
      </c>
      <c r="T46" s="52">
        <v>5</v>
      </c>
      <c r="U46" s="31"/>
      <c r="V46" s="9"/>
      <c r="W46" s="67"/>
      <c r="Y46" s="52">
        <v>5</v>
      </c>
      <c r="Z46" s="31"/>
      <c r="AA46" s="9"/>
      <c r="AB46" s="67"/>
      <c r="AD46" s="52">
        <v>5</v>
      </c>
      <c r="AE46" s="31">
        <v>40087</v>
      </c>
      <c r="AF46" s="9">
        <v>0</v>
      </c>
      <c r="AG46" s="67" t="e">
        <f>IF(AD46&lt;'DADOS DOS EMPREENDIMENTOS'!AF$11,0,IF(AD46='DADOS DOS EMPREENDIMENTOS'!AF$11,SUM(AF$41:AF46)*(1-'DADOS DOS EMPREENDIMENTOS'!#REF!-'DADOS DOS EMPREENDIMENTOS'!#REF!)+'DADOS DOS EMPREENDIMENTOS'!#REF!,IF(AD46='DADOS DOS EMPREENDIMENTOS'!#REF!,'DADOS DOS EMPREENDIMENTOS'!#REF!,AF46*(1-'DADOS DOS EMPREENDIMENTOS'!#REF!-'DADOS DOS EMPREENDIMENTOS'!#REF!))))</f>
        <v>#REF!</v>
      </c>
      <c r="AI46" s="52">
        <v>5</v>
      </c>
      <c r="AJ46" s="31">
        <v>40087</v>
      </c>
      <c r="AK46" s="9">
        <v>0</v>
      </c>
      <c r="AL46" s="67" t="e">
        <f>IF(AI46&lt;'DADOS DOS EMPREENDIMENTOS'!AK$11,0,IF(AI46='DADOS DOS EMPREENDIMENTOS'!AK$11,SUM(AK$41:AK46)*(1-'DADOS DOS EMPREENDIMENTOS'!#REF!-'DADOS DOS EMPREENDIMENTOS'!#REF!)+'DADOS DOS EMPREENDIMENTOS'!#REF!,IF(AI46='DADOS DOS EMPREENDIMENTOS'!#REF!,'DADOS DOS EMPREENDIMENTOS'!#REF!,AK46*(1-'DADOS DOS EMPREENDIMENTOS'!#REF!-'DADOS DOS EMPREENDIMENTOS'!#REF!))))</f>
        <v>#REF!</v>
      </c>
      <c r="AN46" s="52">
        <v>5</v>
      </c>
      <c r="AO46" s="31">
        <v>40087</v>
      </c>
      <c r="AP46" s="9">
        <v>0</v>
      </c>
      <c r="AQ46" s="67" t="e">
        <f>IF(AN46&lt;'DADOS DOS EMPREENDIMENTOS'!AP$11,0,IF(AN46='DADOS DOS EMPREENDIMENTOS'!AP$11,SUM(AP$41:AP46)*(1-'DADOS DOS EMPREENDIMENTOS'!#REF!-'DADOS DOS EMPREENDIMENTOS'!#REF!)+'DADOS DOS EMPREENDIMENTOS'!#REF!,IF(AN46='DADOS DOS EMPREENDIMENTOS'!#REF!,'DADOS DOS EMPREENDIMENTOS'!#REF!,AP46*(1-'DADOS DOS EMPREENDIMENTOS'!#REF!-'DADOS DOS EMPREENDIMENTOS'!#REF!))))</f>
        <v>#REF!</v>
      </c>
      <c r="AS46" s="52">
        <v>5</v>
      </c>
      <c r="AT46" s="31">
        <v>40087</v>
      </c>
      <c r="AU46" s="9">
        <v>0</v>
      </c>
      <c r="AV46" s="67" t="e">
        <f>IF(AS46&lt;'DADOS DOS EMPREENDIMENTOS'!AU$11,0,IF(AS46='DADOS DOS EMPREENDIMENTOS'!AU$11,SUM(AU$41:AU46)*(1-'DADOS DOS EMPREENDIMENTOS'!#REF!-'DADOS DOS EMPREENDIMENTOS'!#REF!)+'DADOS DOS EMPREENDIMENTOS'!#REF!,IF(AS46='DADOS DOS EMPREENDIMENTOS'!#REF!,'DADOS DOS EMPREENDIMENTOS'!#REF!,AU46*(1-'DADOS DOS EMPREENDIMENTOS'!#REF!-'DADOS DOS EMPREENDIMENTOS'!#REF!))))</f>
        <v>#REF!</v>
      </c>
      <c r="AX46" s="52">
        <v>5</v>
      </c>
      <c r="AY46" s="31">
        <v>40087</v>
      </c>
      <c r="AZ46" s="9">
        <v>0</v>
      </c>
      <c r="BA46" s="67" t="e">
        <f>IF(AX46&lt;'DADOS DOS EMPREENDIMENTOS'!AZ$11,0,IF(AX46='DADOS DOS EMPREENDIMENTOS'!AZ$11,SUM(AZ$41:AZ46)*(1-'DADOS DOS EMPREENDIMENTOS'!#REF!-'DADOS DOS EMPREENDIMENTOS'!#REF!)+'DADOS DOS EMPREENDIMENTOS'!#REF!,IF(AX46='DADOS DOS EMPREENDIMENTOS'!#REF!,'DADOS DOS EMPREENDIMENTOS'!#REF!,AZ46*(1-'DADOS DOS EMPREENDIMENTOS'!#REF!-'DADOS DOS EMPREENDIMENTOS'!#REF!))))</f>
        <v>#REF!</v>
      </c>
      <c r="BC46" s="52">
        <v>5</v>
      </c>
      <c r="BD46" s="31">
        <v>40087</v>
      </c>
      <c r="BE46" s="9">
        <v>0</v>
      </c>
      <c r="BF46" s="67" t="e">
        <f>IF(BC46&lt;'DADOS DOS EMPREENDIMENTOS'!BE$11,0,IF(BC46='DADOS DOS EMPREENDIMENTOS'!BE$11,SUM(BE$41:BE46)*(1-'DADOS DOS EMPREENDIMENTOS'!#REF!-'DADOS DOS EMPREENDIMENTOS'!#REF!)+'DADOS DOS EMPREENDIMENTOS'!#REF!,IF(BC46='DADOS DOS EMPREENDIMENTOS'!#REF!,'DADOS DOS EMPREENDIMENTOS'!#REF!,BE46*(1-'DADOS DOS EMPREENDIMENTOS'!#REF!-'DADOS DOS EMPREENDIMENTOS'!#REF!))))</f>
        <v>#REF!</v>
      </c>
      <c r="BH46" s="52">
        <v>5</v>
      </c>
      <c r="BI46" s="31">
        <v>40087</v>
      </c>
      <c r="BJ46" s="9">
        <v>0</v>
      </c>
      <c r="BK46" s="67" t="e">
        <f>IF(BH46&lt;'DADOS DOS EMPREENDIMENTOS'!BJ$11,0,IF(BH46='DADOS DOS EMPREENDIMENTOS'!BJ$11,SUM(BJ$41:BJ46)*(1-'DADOS DOS EMPREENDIMENTOS'!#REF!-'DADOS DOS EMPREENDIMENTOS'!#REF!)+'DADOS DOS EMPREENDIMENTOS'!#REF!,IF(BH46='DADOS DOS EMPREENDIMENTOS'!#REF!,'DADOS DOS EMPREENDIMENTOS'!#REF!,BJ46*(1-'DADOS DOS EMPREENDIMENTOS'!#REF!-'DADOS DOS EMPREENDIMENTOS'!#REF!))))</f>
        <v>#REF!</v>
      </c>
      <c r="BM46" s="52">
        <v>5</v>
      </c>
      <c r="BN46" s="31">
        <v>40087</v>
      </c>
      <c r="BO46" s="9">
        <v>0</v>
      </c>
      <c r="BP46" s="67" t="e">
        <f>IF(BM46&lt;'DADOS DOS EMPREENDIMENTOS'!BO$11,0,IF(BM46='DADOS DOS EMPREENDIMENTOS'!BO$11,SUM(BO$41:BO46)*(1-'DADOS DOS EMPREENDIMENTOS'!#REF!-'DADOS DOS EMPREENDIMENTOS'!#REF!)+'DADOS DOS EMPREENDIMENTOS'!#REF!,IF(BM46='DADOS DOS EMPREENDIMENTOS'!BO$12,'DADOS DOS EMPREENDIMENTOS'!#REF!,BO46*(1-'DADOS DOS EMPREENDIMENTOS'!#REF!-'DADOS DOS EMPREENDIMENTOS'!#REF!))))</f>
        <v>#REF!</v>
      </c>
      <c r="BR46" s="52">
        <v>5</v>
      </c>
      <c r="BS46" s="31">
        <v>40087</v>
      </c>
      <c r="BT46" s="9">
        <v>0</v>
      </c>
      <c r="BU46" s="67" t="e">
        <f>IF(BR46&lt;'DADOS DOS EMPREENDIMENTOS'!BT$11,0,IF(BR46='DADOS DOS EMPREENDIMENTOS'!BT$11,SUM(BT$41:BT46)*(1-'DADOS DOS EMPREENDIMENTOS'!#REF!-'DADOS DOS EMPREENDIMENTOS'!#REF!)+'DADOS DOS EMPREENDIMENTOS'!#REF!,IF(BR46='DADOS DOS EMPREENDIMENTOS'!BT$12,'DADOS DOS EMPREENDIMENTOS'!#REF!,BT46*(1-'DADOS DOS EMPREENDIMENTOS'!#REF!-'DADOS DOS EMPREENDIMENTOS'!#REF!))))</f>
        <v>#REF!</v>
      </c>
      <c r="BW46" s="52">
        <v>5</v>
      </c>
      <c r="BX46" s="31">
        <v>40087</v>
      </c>
      <c r="BY46" s="9">
        <v>0</v>
      </c>
      <c r="BZ46" s="67" t="e">
        <f>IF(BW46&lt;'DADOS DOS EMPREENDIMENTOS'!BY$11,0,IF(BW46='DADOS DOS EMPREENDIMENTOS'!BY$11,SUM(BY$41:BY46)*(1-'DADOS DOS EMPREENDIMENTOS'!#REF!-'DADOS DOS EMPREENDIMENTOS'!#REF!)+'DADOS DOS EMPREENDIMENTOS'!#REF!,IF(BW46='DADOS DOS EMPREENDIMENTOS'!BY$12,'DADOS DOS EMPREENDIMENTOS'!#REF!,BY46*(1-'DADOS DOS EMPREENDIMENTOS'!#REF!-'DADOS DOS EMPREENDIMENTOS'!#REF!))))</f>
        <v>#REF!</v>
      </c>
      <c r="CB46" s="52">
        <v>5</v>
      </c>
      <c r="CC46" s="31">
        <v>40087</v>
      </c>
      <c r="CD46" s="9">
        <v>0</v>
      </c>
      <c r="CE46" s="67" t="e">
        <f>IF(CB46&lt;'DADOS DOS EMPREENDIMENTOS'!CD$11,0,IF(CB46='DADOS DOS EMPREENDIMENTOS'!CD$11,SUM(CD$41:CD46)*(1-'DADOS DOS EMPREENDIMENTOS'!#REF!-'DADOS DOS EMPREENDIMENTOS'!#REF!)+'DADOS DOS EMPREENDIMENTOS'!#REF!,IF(CB46='DADOS DOS EMPREENDIMENTOS'!CD$12,'DADOS DOS EMPREENDIMENTOS'!#REF!,CD46*(1-'DADOS DOS EMPREENDIMENTOS'!#REF!-'DADOS DOS EMPREENDIMENTOS'!#REF!))))</f>
        <v>#REF!</v>
      </c>
      <c r="CG46" s="52"/>
      <c r="CH46" s="31"/>
      <c r="CI46" s="9"/>
      <c r="CJ46" s="67"/>
    </row>
    <row r="47" spans="4:89" ht="12.75" customHeight="1" thickBot="1" x14ac:dyDescent="0.25">
      <c r="O47" s="45">
        <v>32</v>
      </c>
      <c r="P47" s="640" t="s">
        <v>347</v>
      </c>
      <c r="Q47" s="677">
        <f>VLOOKUP(P47,Apoio!C:E,2,0)</f>
        <v>245940</v>
      </c>
      <c r="R47" s="641" t="s">
        <v>316</v>
      </c>
      <c r="S47" s="378">
        <v>5</v>
      </c>
      <c r="T47" s="52">
        <v>6</v>
      </c>
      <c r="U47" s="31"/>
      <c r="V47" s="9"/>
      <c r="W47" s="67"/>
      <c r="Y47" s="52">
        <v>6</v>
      </c>
      <c r="Z47" s="31"/>
      <c r="AA47" s="9"/>
      <c r="AB47" s="67"/>
      <c r="AD47" s="52">
        <v>6</v>
      </c>
      <c r="AE47" s="31">
        <v>40118</v>
      </c>
      <c r="AF47" s="9">
        <v>0</v>
      </c>
      <c r="AG47" s="67" t="e">
        <f>IF(AD47&lt;'DADOS DOS EMPREENDIMENTOS'!AF$11,0,IF(AD47='DADOS DOS EMPREENDIMENTOS'!AF$11,SUM(AF$41:AF47)*(1-'DADOS DOS EMPREENDIMENTOS'!#REF!-'DADOS DOS EMPREENDIMENTOS'!#REF!)+'DADOS DOS EMPREENDIMENTOS'!#REF!,IF(AD47='DADOS DOS EMPREENDIMENTOS'!#REF!,'DADOS DOS EMPREENDIMENTOS'!#REF!,AF47*(1-'DADOS DOS EMPREENDIMENTOS'!#REF!-'DADOS DOS EMPREENDIMENTOS'!#REF!))))</f>
        <v>#REF!</v>
      </c>
      <c r="AI47" s="52">
        <v>6</v>
      </c>
      <c r="AJ47" s="31">
        <v>40118</v>
      </c>
      <c r="AK47" s="9">
        <v>0</v>
      </c>
      <c r="AL47" s="67" t="e">
        <f>IF(AI47&lt;'DADOS DOS EMPREENDIMENTOS'!AK$11,0,IF(AI47='DADOS DOS EMPREENDIMENTOS'!AK$11,SUM(AK$41:AK47)*(1-'DADOS DOS EMPREENDIMENTOS'!#REF!-'DADOS DOS EMPREENDIMENTOS'!#REF!)+'DADOS DOS EMPREENDIMENTOS'!#REF!,IF(AI47='DADOS DOS EMPREENDIMENTOS'!#REF!,'DADOS DOS EMPREENDIMENTOS'!#REF!,AK47*(1-'DADOS DOS EMPREENDIMENTOS'!#REF!-'DADOS DOS EMPREENDIMENTOS'!#REF!))))</f>
        <v>#REF!</v>
      </c>
      <c r="AN47" s="52">
        <v>6</v>
      </c>
      <c r="AO47" s="31">
        <v>40118</v>
      </c>
      <c r="AP47" s="9">
        <v>0</v>
      </c>
      <c r="AQ47" s="67" t="e">
        <f>IF(AN47&lt;'DADOS DOS EMPREENDIMENTOS'!AP$11,0,IF(AN47='DADOS DOS EMPREENDIMENTOS'!AP$11,SUM(AP$41:AP47)*(1-'DADOS DOS EMPREENDIMENTOS'!#REF!-'DADOS DOS EMPREENDIMENTOS'!#REF!)+'DADOS DOS EMPREENDIMENTOS'!#REF!,IF(AN47='DADOS DOS EMPREENDIMENTOS'!#REF!,'DADOS DOS EMPREENDIMENTOS'!#REF!,AP47*(1-'DADOS DOS EMPREENDIMENTOS'!#REF!-'DADOS DOS EMPREENDIMENTOS'!#REF!))))</f>
        <v>#REF!</v>
      </c>
      <c r="AS47" s="52">
        <v>6</v>
      </c>
      <c r="AT47" s="31">
        <v>40118</v>
      </c>
      <c r="AU47" s="9">
        <v>0</v>
      </c>
      <c r="AV47" s="67" t="e">
        <f>IF(AS47&lt;'DADOS DOS EMPREENDIMENTOS'!AU$11,0,IF(AS47='DADOS DOS EMPREENDIMENTOS'!AU$11,SUM(AU$41:AU47)*(1-'DADOS DOS EMPREENDIMENTOS'!#REF!-'DADOS DOS EMPREENDIMENTOS'!#REF!)+'DADOS DOS EMPREENDIMENTOS'!#REF!,IF(AS47='DADOS DOS EMPREENDIMENTOS'!#REF!,'DADOS DOS EMPREENDIMENTOS'!#REF!,AU47*(1-'DADOS DOS EMPREENDIMENTOS'!#REF!-'DADOS DOS EMPREENDIMENTOS'!#REF!))))</f>
        <v>#REF!</v>
      </c>
      <c r="AX47" s="52">
        <v>6</v>
      </c>
      <c r="AY47" s="31">
        <v>40118</v>
      </c>
      <c r="AZ47" s="9">
        <v>0</v>
      </c>
      <c r="BA47" s="67" t="e">
        <f>IF(AX47&lt;'DADOS DOS EMPREENDIMENTOS'!AZ$11,0,IF(AX47='DADOS DOS EMPREENDIMENTOS'!AZ$11,SUM(AZ$41:AZ47)*(1-'DADOS DOS EMPREENDIMENTOS'!#REF!-'DADOS DOS EMPREENDIMENTOS'!#REF!)+'DADOS DOS EMPREENDIMENTOS'!#REF!,IF(AX47='DADOS DOS EMPREENDIMENTOS'!#REF!,'DADOS DOS EMPREENDIMENTOS'!#REF!,AZ47*(1-'DADOS DOS EMPREENDIMENTOS'!#REF!-'DADOS DOS EMPREENDIMENTOS'!#REF!))))</f>
        <v>#REF!</v>
      </c>
      <c r="BC47" s="52">
        <v>6</v>
      </c>
      <c r="BD47" s="31">
        <v>40118</v>
      </c>
      <c r="BE47" s="9">
        <v>0</v>
      </c>
      <c r="BF47" s="67" t="e">
        <f>IF(BC47&lt;'DADOS DOS EMPREENDIMENTOS'!BE$11,0,IF(BC47='DADOS DOS EMPREENDIMENTOS'!BE$11,SUM(BE$41:BE47)*(1-'DADOS DOS EMPREENDIMENTOS'!#REF!-'DADOS DOS EMPREENDIMENTOS'!#REF!)+'DADOS DOS EMPREENDIMENTOS'!#REF!,IF(BC47='DADOS DOS EMPREENDIMENTOS'!#REF!,'DADOS DOS EMPREENDIMENTOS'!#REF!,BE47*(1-'DADOS DOS EMPREENDIMENTOS'!#REF!-'DADOS DOS EMPREENDIMENTOS'!#REF!))))</f>
        <v>#REF!</v>
      </c>
      <c r="BH47" s="52">
        <v>6</v>
      </c>
      <c r="BI47" s="31">
        <v>40118</v>
      </c>
      <c r="BJ47" s="9">
        <v>0</v>
      </c>
      <c r="BK47" s="67" t="e">
        <f>IF(BH47&lt;'DADOS DOS EMPREENDIMENTOS'!BJ$11,0,IF(BH47='DADOS DOS EMPREENDIMENTOS'!BJ$11,SUM(BJ$41:BJ47)*(1-'DADOS DOS EMPREENDIMENTOS'!#REF!-'DADOS DOS EMPREENDIMENTOS'!#REF!)+'DADOS DOS EMPREENDIMENTOS'!#REF!,IF(BH47='DADOS DOS EMPREENDIMENTOS'!#REF!,'DADOS DOS EMPREENDIMENTOS'!#REF!,BJ47*(1-'DADOS DOS EMPREENDIMENTOS'!#REF!-'DADOS DOS EMPREENDIMENTOS'!#REF!))))</f>
        <v>#REF!</v>
      </c>
      <c r="BM47" s="52">
        <v>6</v>
      </c>
      <c r="BN47" s="31">
        <v>40118</v>
      </c>
      <c r="BO47" s="9">
        <v>0</v>
      </c>
      <c r="BP47" s="67" t="e">
        <f>IF(BM47&lt;'DADOS DOS EMPREENDIMENTOS'!BO$11,0,IF(BM47='DADOS DOS EMPREENDIMENTOS'!BO$11,SUM(BO$41:BO47)*(1-'DADOS DOS EMPREENDIMENTOS'!#REF!-'DADOS DOS EMPREENDIMENTOS'!#REF!)+'DADOS DOS EMPREENDIMENTOS'!#REF!,IF(BM47='DADOS DOS EMPREENDIMENTOS'!BO$12,'DADOS DOS EMPREENDIMENTOS'!#REF!,BO47*(1-'DADOS DOS EMPREENDIMENTOS'!#REF!-'DADOS DOS EMPREENDIMENTOS'!#REF!))))</f>
        <v>#REF!</v>
      </c>
      <c r="BR47" s="52">
        <v>6</v>
      </c>
      <c r="BS47" s="31">
        <v>40118</v>
      </c>
      <c r="BT47" s="9">
        <v>0</v>
      </c>
      <c r="BU47" s="67" t="e">
        <f>IF(BR47&lt;'DADOS DOS EMPREENDIMENTOS'!BT$11,0,IF(BR47='DADOS DOS EMPREENDIMENTOS'!BT$11,SUM(BT$41:BT47)*(1-'DADOS DOS EMPREENDIMENTOS'!#REF!-'DADOS DOS EMPREENDIMENTOS'!#REF!)+'DADOS DOS EMPREENDIMENTOS'!#REF!,IF(BR47='DADOS DOS EMPREENDIMENTOS'!BT$12,'DADOS DOS EMPREENDIMENTOS'!#REF!,BT47*(1-'DADOS DOS EMPREENDIMENTOS'!#REF!-'DADOS DOS EMPREENDIMENTOS'!#REF!))))</f>
        <v>#REF!</v>
      </c>
      <c r="BW47" s="52">
        <v>6</v>
      </c>
      <c r="BX47" s="31">
        <v>40118</v>
      </c>
      <c r="BY47" s="9">
        <v>0</v>
      </c>
      <c r="BZ47" s="67" t="e">
        <f>IF(BW47&lt;'DADOS DOS EMPREENDIMENTOS'!BY$11,0,IF(BW47='DADOS DOS EMPREENDIMENTOS'!BY$11,SUM(BY$41:BY47)*(1-'DADOS DOS EMPREENDIMENTOS'!#REF!-'DADOS DOS EMPREENDIMENTOS'!#REF!)+'DADOS DOS EMPREENDIMENTOS'!#REF!,IF(BW47='DADOS DOS EMPREENDIMENTOS'!BY$12,'DADOS DOS EMPREENDIMENTOS'!#REF!,BY47*(1-'DADOS DOS EMPREENDIMENTOS'!#REF!-'DADOS DOS EMPREENDIMENTOS'!#REF!))))</f>
        <v>#REF!</v>
      </c>
      <c r="CB47" s="52">
        <v>6</v>
      </c>
      <c r="CC47" s="31">
        <v>40118</v>
      </c>
      <c r="CD47" s="9">
        <v>0</v>
      </c>
      <c r="CE47" s="67" t="e">
        <f>IF(CB47&lt;'DADOS DOS EMPREENDIMENTOS'!CD$11,0,IF(CB47='DADOS DOS EMPREENDIMENTOS'!CD$11,SUM(CD$41:CD47)*(1-'DADOS DOS EMPREENDIMENTOS'!#REF!-'DADOS DOS EMPREENDIMENTOS'!#REF!)+'DADOS DOS EMPREENDIMENTOS'!#REF!,IF(CB47='DADOS DOS EMPREENDIMENTOS'!CD$12,'DADOS DOS EMPREENDIMENTOS'!#REF!,CD47*(1-'DADOS DOS EMPREENDIMENTOS'!#REF!-'DADOS DOS EMPREENDIMENTOS'!#REF!))))</f>
        <v>#REF!</v>
      </c>
      <c r="CG47" s="52"/>
      <c r="CH47" s="31"/>
      <c r="CI47" s="9"/>
      <c r="CJ47" s="67"/>
    </row>
    <row r="48" spans="4:89" ht="12.75" customHeight="1" thickBot="1" x14ac:dyDescent="0.25">
      <c r="O48" s="43">
        <v>33</v>
      </c>
      <c r="P48" s="640" t="s">
        <v>348</v>
      </c>
      <c r="Q48" s="677">
        <f>VLOOKUP(P48,Apoio!C:E,2,0)</f>
        <v>245940</v>
      </c>
      <c r="R48" s="641" t="s">
        <v>316</v>
      </c>
      <c r="S48" s="378">
        <v>5</v>
      </c>
      <c r="T48" s="52">
        <v>7</v>
      </c>
      <c r="U48" s="31"/>
      <c r="V48" s="9"/>
      <c r="W48" s="67"/>
      <c r="Y48" s="52">
        <v>7</v>
      </c>
      <c r="Z48" s="31"/>
      <c r="AA48" s="9"/>
      <c r="AB48" s="67"/>
      <c r="AD48" s="52">
        <v>7</v>
      </c>
      <c r="AE48" s="31">
        <v>40148</v>
      </c>
      <c r="AF48" s="9">
        <v>1.570000040555336E-2</v>
      </c>
      <c r="AG48" s="67" t="e">
        <f>IF(AD48&lt;'DADOS DOS EMPREENDIMENTOS'!AF$11,0,IF(AD48='DADOS DOS EMPREENDIMENTOS'!AF$11,SUM(AF$41:AF48)*(1-'DADOS DOS EMPREENDIMENTOS'!#REF!-'DADOS DOS EMPREENDIMENTOS'!#REF!)+'DADOS DOS EMPREENDIMENTOS'!#REF!,IF(AD48='DADOS DOS EMPREENDIMENTOS'!#REF!,'DADOS DOS EMPREENDIMENTOS'!#REF!,AF48*(1-'DADOS DOS EMPREENDIMENTOS'!#REF!-'DADOS DOS EMPREENDIMENTOS'!#REF!))))</f>
        <v>#REF!</v>
      </c>
      <c r="AI48" s="52">
        <v>7</v>
      </c>
      <c r="AJ48" s="31">
        <v>40148</v>
      </c>
      <c r="AK48" s="9">
        <v>1.570000040555336E-2</v>
      </c>
      <c r="AL48" s="67" t="e">
        <f>IF(AI48&lt;'DADOS DOS EMPREENDIMENTOS'!AK$11,0,IF(AI48='DADOS DOS EMPREENDIMENTOS'!AK$11,SUM(AK$41:AK48)*(1-'DADOS DOS EMPREENDIMENTOS'!#REF!-'DADOS DOS EMPREENDIMENTOS'!#REF!)+'DADOS DOS EMPREENDIMENTOS'!#REF!,IF(AI48='DADOS DOS EMPREENDIMENTOS'!#REF!,'DADOS DOS EMPREENDIMENTOS'!#REF!,AK48*(1-'DADOS DOS EMPREENDIMENTOS'!#REF!-'DADOS DOS EMPREENDIMENTOS'!#REF!))))</f>
        <v>#REF!</v>
      </c>
      <c r="AN48" s="52">
        <v>7</v>
      </c>
      <c r="AO48" s="31">
        <v>40148</v>
      </c>
      <c r="AP48" s="9">
        <v>1.570000040555336E-2</v>
      </c>
      <c r="AQ48" s="67" t="e">
        <f>IF(AN48&lt;'DADOS DOS EMPREENDIMENTOS'!AP$11,0,IF(AN48='DADOS DOS EMPREENDIMENTOS'!AP$11,SUM(AP$41:AP48)*(1-'DADOS DOS EMPREENDIMENTOS'!#REF!-'DADOS DOS EMPREENDIMENTOS'!#REF!)+'DADOS DOS EMPREENDIMENTOS'!#REF!,IF(AN48='DADOS DOS EMPREENDIMENTOS'!#REF!,'DADOS DOS EMPREENDIMENTOS'!#REF!,AP48*(1-'DADOS DOS EMPREENDIMENTOS'!#REF!-'DADOS DOS EMPREENDIMENTOS'!#REF!))))</f>
        <v>#REF!</v>
      </c>
      <c r="AS48" s="52">
        <v>7</v>
      </c>
      <c r="AT48" s="31">
        <v>40148</v>
      </c>
      <c r="AU48" s="9">
        <v>1.570000040555336E-2</v>
      </c>
      <c r="AV48" s="67" t="e">
        <f>IF(AS48&lt;'DADOS DOS EMPREENDIMENTOS'!AU$11,0,IF(AS48='DADOS DOS EMPREENDIMENTOS'!AU$11,SUM(AU$41:AU48)*(1-'DADOS DOS EMPREENDIMENTOS'!#REF!-'DADOS DOS EMPREENDIMENTOS'!#REF!)+'DADOS DOS EMPREENDIMENTOS'!#REF!,IF(AS48='DADOS DOS EMPREENDIMENTOS'!#REF!,'DADOS DOS EMPREENDIMENTOS'!#REF!,AU48*(1-'DADOS DOS EMPREENDIMENTOS'!#REF!-'DADOS DOS EMPREENDIMENTOS'!#REF!))))</f>
        <v>#REF!</v>
      </c>
      <c r="AX48" s="52">
        <v>7</v>
      </c>
      <c r="AY48" s="31">
        <v>40148</v>
      </c>
      <c r="AZ48" s="9">
        <v>1.570000040555336E-2</v>
      </c>
      <c r="BA48" s="67" t="e">
        <f>IF(AX48&lt;'DADOS DOS EMPREENDIMENTOS'!AZ$11,0,IF(AX48='DADOS DOS EMPREENDIMENTOS'!AZ$11,SUM(AZ$41:AZ48)*(1-'DADOS DOS EMPREENDIMENTOS'!#REF!-'DADOS DOS EMPREENDIMENTOS'!#REF!)+'DADOS DOS EMPREENDIMENTOS'!#REF!,IF(AX48='DADOS DOS EMPREENDIMENTOS'!#REF!,'DADOS DOS EMPREENDIMENTOS'!#REF!,AZ48*(1-'DADOS DOS EMPREENDIMENTOS'!#REF!-'DADOS DOS EMPREENDIMENTOS'!#REF!))))</f>
        <v>#REF!</v>
      </c>
      <c r="BC48" s="52">
        <v>7</v>
      </c>
      <c r="BD48" s="31">
        <v>40148</v>
      </c>
      <c r="BE48" s="9">
        <v>1.570000040555336E-2</v>
      </c>
      <c r="BF48" s="67" t="e">
        <f>IF(BC48&lt;'DADOS DOS EMPREENDIMENTOS'!BE$11,0,IF(BC48='DADOS DOS EMPREENDIMENTOS'!BE$11,SUM(BE$41:BE48)*(1-'DADOS DOS EMPREENDIMENTOS'!#REF!-'DADOS DOS EMPREENDIMENTOS'!#REF!)+'DADOS DOS EMPREENDIMENTOS'!#REF!,IF(BC48='DADOS DOS EMPREENDIMENTOS'!#REF!,'DADOS DOS EMPREENDIMENTOS'!#REF!,BE48*(1-'DADOS DOS EMPREENDIMENTOS'!#REF!-'DADOS DOS EMPREENDIMENTOS'!#REF!))))</f>
        <v>#REF!</v>
      </c>
      <c r="BH48" s="52">
        <v>7</v>
      </c>
      <c r="BI48" s="31">
        <v>40148</v>
      </c>
      <c r="BJ48" s="9">
        <v>1.570000040555336E-2</v>
      </c>
      <c r="BK48" s="67" t="e">
        <f>IF(BH48&lt;'DADOS DOS EMPREENDIMENTOS'!BJ$11,0,IF(BH48='DADOS DOS EMPREENDIMENTOS'!BJ$11,SUM(BJ$41:BJ48)*(1-'DADOS DOS EMPREENDIMENTOS'!#REF!-'DADOS DOS EMPREENDIMENTOS'!#REF!)+'DADOS DOS EMPREENDIMENTOS'!#REF!,IF(BH48='DADOS DOS EMPREENDIMENTOS'!#REF!,'DADOS DOS EMPREENDIMENTOS'!#REF!,BJ48*(1-'DADOS DOS EMPREENDIMENTOS'!#REF!-'DADOS DOS EMPREENDIMENTOS'!#REF!))))</f>
        <v>#REF!</v>
      </c>
      <c r="BM48" s="52">
        <v>7</v>
      </c>
      <c r="BN48" s="31">
        <v>40148</v>
      </c>
      <c r="BO48" s="9">
        <v>1.570000040555336E-2</v>
      </c>
      <c r="BP48" s="67" t="e">
        <f>IF(BM48&lt;'DADOS DOS EMPREENDIMENTOS'!BO$11,0,IF(BM48='DADOS DOS EMPREENDIMENTOS'!BO$11,SUM(BO$41:BO48)*(1-'DADOS DOS EMPREENDIMENTOS'!#REF!-'DADOS DOS EMPREENDIMENTOS'!#REF!)+'DADOS DOS EMPREENDIMENTOS'!#REF!,IF(BM48='DADOS DOS EMPREENDIMENTOS'!BO$12,'DADOS DOS EMPREENDIMENTOS'!#REF!,BO48*(1-'DADOS DOS EMPREENDIMENTOS'!#REF!-'DADOS DOS EMPREENDIMENTOS'!#REF!))))</f>
        <v>#REF!</v>
      </c>
      <c r="BR48" s="52">
        <v>7</v>
      </c>
      <c r="BS48" s="31">
        <v>40148</v>
      </c>
      <c r="BT48" s="9">
        <v>1.570000040555336E-2</v>
      </c>
      <c r="BU48" s="67" t="e">
        <f>IF(BR48&lt;'DADOS DOS EMPREENDIMENTOS'!BT$11,0,IF(BR48='DADOS DOS EMPREENDIMENTOS'!BT$11,SUM(BT$41:BT48)*(1-'DADOS DOS EMPREENDIMENTOS'!#REF!-'DADOS DOS EMPREENDIMENTOS'!#REF!)+'DADOS DOS EMPREENDIMENTOS'!#REF!,IF(BR48='DADOS DOS EMPREENDIMENTOS'!BT$12,'DADOS DOS EMPREENDIMENTOS'!#REF!,BT48*(1-'DADOS DOS EMPREENDIMENTOS'!#REF!-'DADOS DOS EMPREENDIMENTOS'!#REF!))))</f>
        <v>#REF!</v>
      </c>
      <c r="BW48" s="52">
        <v>7</v>
      </c>
      <c r="BX48" s="31">
        <v>40148</v>
      </c>
      <c r="BY48" s="9">
        <v>1.570000040555336E-2</v>
      </c>
      <c r="BZ48" s="67" t="e">
        <f>IF(BW48&lt;'DADOS DOS EMPREENDIMENTOS'!BY$11,0,IF(BW48='DADOS DOS EMPREENDIMENTOS'!BY$11,SUM(BY$41:BY48)*(1-'DADOS DOS EMPREENDIMENTOS'!#REF!-'DADOS DOS EMPREENDIMENTOS'!#REF!)+'DADOS DOS EMPREENDIMENTOS'!#REF!,IF(BW48='DADOS DOS EMPREENDIMENTOS'!BY$12,'DADOS DOS EMPREENDIMENTOS'!#REF!,BY48*(1-'DADOS DOS EMPREENDIMENTOS'!#REF!-'DADOS DOS EMPREENDIMENTOS'!#REF!))))</f>
        <v>#REF!</v>
      </c>
      <c r="CB48" s="52">
        <v>7</v>
      </c>
      <c r="CC48" s="31">
        <v>40148</v>
      </c>
      <c r="CD48" s="9">
        <v>1.570000040555336E-2</v>
      </c>
      <c r="CE48" s="67" t="e">
        <f>IF(CB48&lt;'DADOS DOS EMPREENDIMENTOS'!CD$11,0,IF(CB48='DADOS DOS EMPREENDIMENTOS'!CD$11,SUM(CD$41:CD48)*(1-'DADOS DOS EMPREENDIMENTOS'!#REF!-'DADOS DOS EMPREENDIMENTOS'!#REF!)+'DADOS DOS EMPREENDIMENTOS'!#REF!,IF(CB48='DADOS DOS EMPREENDIMENTOS'!CD$12,'DADOS DOS EMPREENDIMENTOS'!#REF!,CD48*(1-'DADOS DOS EMPREENDIMENTOS'!#REF!-'DADOS DOS EMPREENDIMENTOS'!#REF!))))</f>
        <v>#REF!</v>
      </c>
      <c r="CG48" s="52"/>
      <c r="CH48" s="31"/>
      <c r="CI48" s="9"/>
      <c r="CJ48" s="67"/>
    </row>
    <row r="49" spans="15:88" ht="12.75" customHeight="1" thickBot="1" x14ac:dyDescent="0.25">
      <c r="O49" s="45">
        <v>34</v>
      </c>
      <c r="P49" s="640" t="s">
        <v>349</v>
      </c>
      <c r="Q49" s="677">
        <f>VLOOKUP(P49,Apoio!C:E,2,0)</f>
        <v>246040</v>
      </c>
      <c r="R49" s="641" t="s">
        <v>316</v>
      </c>
      <c r="S49" s="378">
        <v>5</v>
      </c>
      <c r="T49" s="52">
        <v>8</v>
      </c>
      <c r="U49" s="31"/>
      <c r="V49" s="9"/>
      <c r="W49" s="67"/>
      <c r="Y49" s="52">
        <v>8</v>
      </c>
      <c r="Z49" s="31"/>
      <c r="AA49" s="9"/>
      <c r="AB49" s="67"/>
      <c r="AD49" s="52">
        <v>8</v>
      </c>
      <c r="AE49" s="31">
        <v>40179</v>
      </c>
      <c r="AF49" s="9">
        <v>4.6099999744609189E-2</v>
      </c>
      <c r="AG49" s="67" t="e">
        <f>IF(AD49&lt;'DADOS DOS EMPREENDIMENTOS'!AF$11,0,IF(AD49='DADOS DOS EMPREENDIMENTOS'!AF$11,SUM(AF$41:AF49)*(1-'DADOS DOS EMPREENDIMENTOS'!#REF!-'DADOS DOS EMPREENDIMENTOS'!#REF!)+'DADOS DOS EMPREENDIMENTOS'!#REF!,IF(AD49='DADOS DOS EMPREENDIMENTOS'!#REF!,'DADOS DOS EMPREENDIMENTOS'!#REF!,AF49*(1-'DADOS DOS EMPREENDIMENTOS'!#REF!-'DADOS DOS EMPREENDIMENTOS'!#REF!))))</f>
        <v>#REF!</v>
      </c>
      <c r="AI49" s="52">
        <v>8</v>
      </c>
      <c r="AJ49" s="31">
        <v>40179</v>
      </c>
      <c r="AK49" s="9">
        <v>4.6099999744609189E-2</v>
      </c>
      <c r="AL49" s="67" t="e">
        <f>IF(AI49&lt;'DADOS DOS EMPREENDIMENTOS'!AK$11,0,IF(AI49='DADOS DOS EMPREENDIMENTOS'!AK$11,SUM(AK$41:AK49)*(1-'DADOS DOS EMPREENDIMENTOS'!#REF!-'DADOS DOS EMPREENDIMENTOS'!#REF!)+'DADOS DOS EMPREENDIMENTOS'!#REF!,IF(AI49='DADOS DOS EMPREENDIMENTOS'!#REF!,'DADOS DOS EMPREENDIMENTOS'!#REF!,AK49*(1-'DADOS DOS EMPREENDIMENTOS'!#REF!-'DADOS DOS EMPREENDIMENTOS'!#REF!))))</f>
        <v>#REF!</v>
      </c>
      <c r="AN49" s="52">
        <v>8</v>
      </c>
      <c r="AO49" s="31">
        <v>40179</v>
      </c>
      <c r="AP49" s="9">
        <v>4.6099999744609189E-2</v>
      </c>
      <c r="AQ49" s="67" t="e">
        <f>IF(AN49&lt;'DADOS DOS EMPREENDIMENTOS'!AP$11,0,IF(AN49='DADOS DOS EMPREENDIMENTOS'!AP$11,SUM(AP$41:AP49)*(1-'DADOS DOS EMPREENDIMENTOS'!#REF!-'DADOS DOS EMPREENDIMENTOS'!#REF!)+'DADOS DOS EMPREENDIMENTOS'!#REF!,IF(AN49='DADOS DOS EMPREENDIMENTOS'!#REF!,'DADOS DOS EMPREENDIMENTOS'!#REF!,AP49*(1-'DADOS DOS EMPREENDIMENTOS'!#REF!-'DADOS DOS EMPREENDIMENTOS'!#REF!))))</f>
        <v>#REF!</v>
      </c>
      <c r="AS49" s="52">
        <v>8</v>
      </c>
      <c r="AT49" s="31">
        <v>40179</v>
      </c>
      <c r="AU49" s="9">
        <v>4.6099999744609189E-2</v>
      </c>
      <c r="AV49" s="67" t="e">
        <f>IF(AS49&lt;'DADOS DOS EMPREENDIMENTOS'!AU$11,0,IF(AS49='DADOS DOS EMPREENDIMENTOS'!AU$11,SUM(AU$41:AU49)*(1-'DADOS DOS EMPREENDIMENTOS'!#REF!-'DADOS DOS EMPREENDIMENTOS'!#REF!)+'DADOS DOS EMPREENDIMENTOS'!#REF!,IF(AS49='DADOS DOS EMPREENDIMENTOS'!#REF!,'DADOS DOS EMPREENDIMENTOS'!#REF!,AU49*(1-'DADOS DOS EMPREENDIMENTOS'!#REF!-'DADOS DOS EMPREENDIMENTOS'!#REF!))))</f>
        <v>#REF!</v>
      </c>
      <c r="AX49" s="52">
        <v>8</v>
      </c>
      <c r="AY49" s="31">
        <v>40179</v>
      </c>
      <c r="AZ49" s="9">
        <v>4.6099999744609189E-2</v>
      </c>
      <c r="BA49" s="67" t="e">
        <f>IF(AX49&lt;'DADOS DOS EMPREENDIMENTOS'!AZ$11,0,IF(AX49='DADOS DOS EMPREENDIMENTOS'!AZ$11,SUM(AZ$41:AZ49)*(1-'DADOS DOS EMPREENDIMENTOS'!#REF!-'DADOS DOS EMPREENDIMENTOS'!#REF!)+'DADOS DOS EMPREENDIMENTOS'!#REF!,IF(AX49='DADOS DOS EMPREENDIMENTOS'!#REF!,'DADOS DOS EMPREENDIMENTOS'!#REF!,AZ49*(1-'DADOS DOS EMPREENDIMENTOS'!#REF!-'DADOS DOS EMPREENDIMENTOS'!#REF!))))</f>
        <v>#REF!</v>
      </c>
      <c r="BC49" s="52">
        <v>8</v>
      </c>
      <c r="BD49" s="31">
        <v>40179</v>
      </c>
      <c r="BE49" s="9">
        <v>4.6099999744609189E-2</v>
      </c>
      <c r="BF49" s="67" t="e">
        <f>IF(BC49&lt;'DADOS DOS EMPREENDIMENTOS'!BE$11,0,IF(BC49='DADOS DOS EMPREENDIMENTOS'!BE$11,SUM(BE$41:BE49)*(1-'DADOS DOS EMPREENDIMENTOS'!#REF!-'DADOS DOS EMPREENDIMENTOS'!#REF!)+'DADOS DOS EMPREENDIMENTOS'!#REF!,IF(BC49='DADOS DOS EMPREENDIMENTOS'!#REF!,'DADOS DOS EMPREENDIMENTOS'!#REF!,BE49*(1-'DADOS DOS EMPREENDIMENTOS'!#REF!-'DADOS DOS EMPREENDIMENTOS'!#REF!))))</f>
        <v>#REF!</v>
      </c>
      <c r="BH49" s="52">
        <v>8</v>
      </c>
      <c r="BI49" s="31">
        <v>40179</v>
      </c>
      <c r="BJ49" s="9">
        <v>4.6099999744609189E-2</v>
      </c>
      <c r="BK49" s="67" t="e">
        <f>IF(BH49&lt;'DADOS DOS EMPREENDIMENTOS'!BJ$11,0,IF(BH49='DADOS DOS EMPREENDIMENTOS'!BJ$11,SUM(BJ$41:BJ49)*(1-'DADOS DOS EMPREENDIMENTOS'!#REF!-'DADOS DOS EMPREENDIMENTOS'!#REF!)+'DADOS DOS EMPREENDIMENTOS'!#REF!,IF(BH49='DADOS DOS EMPREENDIMENTOS'!#REF!,'DADOS DOS EMPREENDIMENTOS'!#REF!,BJ49*(1-'DADOS DOS EMPREENDIMENTOS'!#REF!-'DADOS DOS EMPREENDIMENTOS'!#REF!))))</f>
        <v>#REF!</v>
      </c>
      <c r="BM49" s="52">
        <v>8</v>
      </c>
      <c r="BN49" s="31">
        <v>40179</v>
      </c>
      <c r="BO49" s="9">
        <v>4.6099999744609189E-2</v>
      </c>
      <c r="BP49" s="67" t="e">
        <f>IF(BM49&lt;'DADOS DOS EMPREENDIMENTOS'!BO$11,0,IF(BM49='DADOS DOS EMPREENDIMENTOS'!BO$11,SUM(BO$41:BO49)*(1-'DADOS DOS EMPREENDIMENTOS'!#REF!-'DADOS DOS EMPREENDIMENTOS'!#REF!)+'DADOS DOS EMPREENDIMENTOS'!#REF!,IF(BM49='DADOS DOS EMPREENDIMENTOS'!BO$12,'DADOS DOS EMPREENDIMENTOS'!#REF!,BO49*(1-'DADOS DOS EMPREENDIMENTOS'!#REF!-'DADOS DOS EMPREENDIMENTOS'!#REF!))))</f>
        <v>#REF!</v>
      </c>
      <c r="BR49" s="52">
        <v>8</v>
      </c>
      <c r="BS49" s="31">
        <v>40179</v>
      </c>
      <c r="BT49" s="9">
        <v>4.6099999744609189E-2</v>
      </c>
      <c r="BU49" s="67" t="e">
        <f>IF(BR49&lt;'DADOS DOS EMPREENDIMENTOS'!BT$11,0,IF(BR49='DADOS DOS EMPREENDIMENTOS'!BT$11,SUM(BT$41:BT49)*(1-'DADOS DOS EMPREENDIMENTOS'!#REF!-'DADOS DOS EMPREENDIMENTOS'!#REF!)+'DADOS DOS EMPREENDIMENTOS'!#REF!,IF(BR49='DADOS DOS EMPREENDIMENTOS'!BT$12,'DADOS DOS EMPREENDIMENTOS'!#REF!,BT49*(1-'DADOS DOS EMPREENDIMENTOS'!#REF!-'DADOS DOS EMPREENDIMENTOS'!#REF!))))</f>
        <v>#REF!</v>
      </c>
      <c r="BW49" s="52">
        <v>8</v>
      </c>
      <c r="BX49" s="31">
        <v>40179</v>
      </c>
      <c r="BY49" s="9">
        <v>4.6099999744609189E-2</v>
      </c>
      <c r="BZ49" s="67" t="e">
        <f>IF(BW49&lt;'DADOS DOS EMPREENDIMENTOS'!BY$11,0,IF(BW49='DADOS DOS EMPREENDIMENTOS'!BY$11,SUM(BY$41:BY49)*(1-'DADOS DOS EMPREENDIMENTOS'!#REF!-'DADOS DOS EMPREENDIMENTOS'!#REF!)+'DADOS DOS EMPREENDIMENTOS'!#REF!,IF(BW49='DADOS DOS EMPREENDIMENTOS'!BY$12,'DADOS DOS EMPREENDIMENTOS'!#REF!,BY49*(1-'DADOS DOS EMPREENDIMENTOS'!#REF!-'DADOS DOS EMPREENDIMENTOS'!#REF!))))</f>
        <v>#REF!</v>
      </c>
      <c r="CB49" s="52">
        <v>8</v>
      </c>
      <c r="CC49" s="31">
        <v>40179</v>
      </c>
      <c r="CD49" s="9">
        <v>4.6099999744609189E-2</v>
      </c>
      <c r="CE49" s="67" t="e">
        <f>IF(CB49&lt;'DADOS DOS EMPREENDIMENTOS'!CD$11,0,IF(CB49='DADOS DOS EMPREENDIMENTOS'!CD$11,SUM(CD$41:CD49)*(1-'DADOS DOS EMPREENDIMENTOS'!#REF!-'DADOS DOS EMPREENDIMENTOS'!#REF!)+'DADOS DOS EMPREENDIMENTOS'!#REF!,IF(CB49='DADOS DOS EMPREENDIMENTOS'!CD$12,'DADOS DOS EMPREENDIMENTOS'!#REF!,CD49*(1-'DADOS DOS EMPREENDIMENTOS'!#REF!-'DADOS DOS EMPREENDIMENTOS'!#REF!))))</f>
        <v>#REF!</v>
      </c>
      <c r="CG49" s="52"/>
      <c r="CH49" s="31"/>
      <c r="CI49" s="9"/>
      <c r="CJ49" s="67"/>
    </row>
    <row r="50" spans="15:88" ht="12.75" customHeight="1" thickBot="1" x14ac:dyDescent="0.25">
      <c r="O50" s="43">
        <v>35</v>
      </c>
      <c r="P50" s="640" t="s">
        <v>350</v>
      </c>
      <c r="Q50" s="677">
        <f>VLOOKUP(P50,Apoio!C:E,2,0)</f>
        <v>246040</v>
      </c>
      <c r="R50" s="641" t="s">
        <v>316</v>
      </c>
      <c r="S50" s="378">
        <v>5</v>
      </c>
      <c r="T50" s="52">
        <v>9</v>
      </c>
      <c r="U50" s="31"/>
      <c r="V50" s="9"/>
      <c r="W50" s="67"/>
      <c r="Y50" s="52">
        <v>9</v>
      </c>
      <c r="Z50" s="31"/>
      <c r="AA50" s="9"/>
      <c r="AB50" s="67"/>
      <c r="AD50" s="52">
        <v>9</v>
      </c>
      <c r="AE50" s="31">
        <v>40210</v>
      </c>
      <c r="AF50" s="9">
        <v>4.5700000205209423E-2</v>
      </c>
      <c r="AG50" s="67" t="e">
        <f>IF(AD50&lt;'DADOS DOS EMPREENDIMENTOS'!AF$11,0,IF(AD50='DADOS DOS EMPREENDIMENTOS'!AF$11,SUM(AF$41:AF50)*(1-'DADOS DOS EMPREENDIMENTOS'!#REF!-'DADOS DOS EMPREENDIMENTOS'!#REF!)+'DADOS DOS EMPREENDIMENTOS'!#REF!,IF(AD50='DADOS DOS EMPREENDIMENTOS'!#REF!,'DADOS DOS EMPREENDIMENTOS'!#REF!,AF50*(1-'DADOS DOS EMPREENDIMENTOS'!#REF!-'DADOS DOS EMPREENDIMENTOS'!#REF!))))</f>
        <v>#REF!</v>
      </c>
      <c r="AI50" s="52">
        <v>9</v>
      </c>
      <c r="AJ50" s="31">
        <v>40210</v>
      </c>
      <c r="AK50" s="9">
        <v>4.5700000205209423E-2</v>
      </c>
      <c r="AL50" s="67" t="e">
        <f>IF(AI50&lt;'DADOS DOS EMPREENDIMENTOS'!AK$11,0,IF(AI50='DADOS DOS EMPREENDIMENTOS'!AK$11,SUM(AK$41:AK50)*(1-'DADOS DOS EMPREENDIMENTOS'!#REF!-'DADOS DOS EMPREENDIMENTOS'!#REF!)+'DADOS DOS EMPREENDIMENTOS'!#REF!,IF(AI50='DADOS DOS EMPREENDIMENTOS'!#REF!,'DADOS DOS EMPREENDIMENTOS'!#REF!,AK50*(1-'DADOS DOS EMPREENDIMENTOS'!#REF!-'DADOS DOS EMPREENDIMENTOS'!#REF!))))</f>
        <v>#REF!</v>
      </c>
      <c r="AN50" s="52">
        <v>9</v>
      </c>
      <c r="AO50" s="31">
        <v>40210</v>
      </c>
      <c r="AP50" s="9">
        <v>4.5700000205209423E-2</v>
      </c>
      <c r="AQ50" s="67" t="e">
        <f>IF(AN50&lt;'DADOS DOS EMPREENDIMENTOS'!AP$11,0,IF(AN50='DADOS DOS EMPREENDIMENTOS'!AP$11,SUM(AP$41:AP50)*(1-'DADOS DOS EMPREENDIMENTOS'!#REF!-'DADOS DOS EMPREENDIMENTOS'!#REF!)+'DADOS DOS EMPREENDIMENTOS'!#REF!,IF(AN50='DADOS DOS EMPREENDIMENTOS'!#REF!,'DADOS DOS EMPREENDIMENTOS'!#REF!,AP50*(1-'DADOS DOS EMPREENDIMENTOS'!#REF!-'DADOS DOS EMPREENDIMENTOS'!#REF!))))</f>
        <v>#REF!</v>
      </c>
      <c r="AS50" s="52">
        <v>9</v>
      </c>
      <c r="AT50" s="31">
        <v>40210</v>
      </c>
      <c r="AU50" s="9">
        <v>4.5700000205209423E-2</v>
      </c>
      <c r="AV50" s="67" t="e">
        <f>IF(AS50&lt;'DADOS DOS EMPREENDIMENTOS'!AU$11,0,IF(AS50='DADOS DOS EMPREENDIMENTOS'!AU$11,SUM(AU$41:AU50)*(1-'DADOS DOS EMPREENDIMENTOS'!#REF!-'DADOS DOS EMPREENDIMENTOS'!#REF!)+'DADOS DOS EMPREENDIMENTOS'!#REF!,IF(AS50='DADOS DOS EMPREENDIMENTOS'!#REF!,'DADOS DOS EMPREENDIMENTOS'!#REF!,AU50*(1-'DADOS DOS EMPREENDIMENTOS'!#REF!-'DADOS DOS EMPREENDIMENTOS'!#REF!))))</f>
        <v>#REF!</v>
      </c>
      <c r="AX50" s="52">
        <v>9</v>
      </c>
      <c r="AY50" s="31">
        <v>40210</v>
      </c>
      <c r="AZ50" s="9">
        <v>4.5700000205209423E-2</v>
      </c>
      <c r="BA50" s="67" t="e">
        <f>IF(AX50&lt;'DADOS DOS EMPREENDIMENTOS'!AZ$11,0,IF(AX50='DADOS DOS EMPREENDIMENTOS'!AZ$11,SUM(AZ$41:AZ50)*(1-'DADOS DOS EMPREENDIMENTOS'!#REF!-'DADOS DOS EMPREENDIMENTOS'!#REF!)+'DADOS DOS EMPREENDIMENTOS'!#REF!,IF(AX50='DADOS DOS EMPREENDIMENTOS'!#REF!,'DADOS DOS EMPREENDIMENTOS'!#REF!,AZ50*(1-'DADOS DOS EMPREENDIMENTOS'!#REF!-'DADOS DOS EMPREENDIMENTOS'!#REF!))))</f>
        <v>#REF!</v>
      </c>
      <c r="BC50" s="52">
        <v>9</v>
      </c>
      <c r="BD50" s="31">
        <v>40210</v>
      </c>
      <c r="BE50" s="9">
        <v>4.5700000205209423E-2</v>
      </c>
      <c r="BF50" s="67" t="e">
        <f>IF(BC50&lt;'DADOS DOS EMPREENDIMENTOS'!BE$11,0,IF(BC50='DADOS DOS EMPREENDIMENTOS'!BE$11,SUM(BE$41:BE50)*(1-'DADOS DOS EMPREENDIMENTOS'!#REF!-'DADOS DOS EMPREENDIMENTOS'!#REF!)+'DADOS DOS EMPREENDIMENTOS'!#REF!,IF(BC50='DADOS DOS EMPREENDIMENTOS'!#REF!,'DADOS DOS EMPREENDIMENTOS'!#REF!,BE50*(1-'DADOS DOS EMPREENDIMENTOS'!#REF!-'DADOS DOS EMPREENDIMENTOS'!#REF!))))</f>
        <v>#REF!</v>
      </c>
      <c r="BH50" s="52">
        <v>9</v>
      </c>
      <c r="BI50" s="31">
        <v>40210</v>
      </c>
      <c r="BJ50" s="9">
        <v>4.5700000205209423E-2</v>
      </c>
      <c r="BK50" s="67" t="e">
        <f>IF(BH50&lt;'DADOS DOS EMPREENDIMENTOS'!BJ$11,0,IF(BH50='DADOS DOS EMPREENDIMENTOS'!BJ$11,SUM(BJ$41:BJ50)*(1-'DADOS DOS EMPREENDIMENTOS'!#REF!-'DADOS DOS EMPREENDIMENTOS'!#REF!)+'DADOS DOS EMPREENDIMENTOS'!#REF!,IF(BH50='DADOS DOS EMPREENDIMENTOS'!#REF!,'DADOS DOS EMPREENDIMENTOS'!#REF!,BJ50*(1-'DADOS DOS EMPREENDIMENTOS'!#REF!-'DADOS DOS EMPREENDIMENTOS'!#REF!))))</f>
        <v>#REF!</v>
      </c>
      <c r="BM50" s="52">
        <v>9</v>
      </c>
      <c r="BN50" s="31">
        <v>40210</v>
      </c>
      <c r="BO50" s="9">
        <v>4.5700000205209423E-2</v>
      </c>
      <c r="BP50" s="67" t="e">
        <f>IF(BM50&lt;'DADOS DOS EMPREENDIMENTOS'!BO$11,0,IF(BM50='DADOS DOS EMPREENDIMENTOS'!BO$11,SUM(BO$41:BO50)*(1-'DADOS DOS EMPREENDIMENTOS'!#REF!-'DADOS DOS EMPREENDIMENTOS'!#REF!)+'DADOS DOS EMPREENDIMENTOS'!#REF!,IF(BM50='DADOS DOS EMPREENDIMENTOS'!BO$12,'DADOS DOS EMPREENDIMENTOS'!#REF!,BO50*(1-'DADOS DOS EMPREENDIMENTOS'!#REF!-'DADOS DOS EMPREENDIMENTOS'!#REF!))))</f>
        <v>#REF!</v>
      </c>
      <c r="BR50" s="52">
        <v>9</v>
      </c>
      <c r="BS50" s="31">
        <v>40210</v>
      </c>
      <c r="BT50" s="9">
        <v>4.5700000205209423E-2</v>
      </c>
      <c r="BU50" s="67" t="e">
        <f>IF(BR50&lt;'DADOS DOS EMPREENDIMENTOS'!BT$11,0,IF(BR50='DADOS DOS EMPREENDIMENTOS'!BT$11,SUM(BT$41:BT50)*(1-'DADOS DOS EMPREENDIMENTOS'!#REF!-'DADOS DOS EMPREENDIMENTOS'!#REF!)+'DADOS DOS EMPREENDIMENTOS'!#REF!,IF(BR50='DADOS DOS EMPREENDIMENTOS'!BT$12,'DADOS DOS EMPREENDIMENTOS'!#REF!,BT50*(1-'DADOS DOS EMPREENDIMENTOS'!#REF!-'DADOS DOS EMPREENDIMENTOS'!#REF!))))</f>
        <v>#REF!</v>
      </c>
      <c r="BW50" s="52">
        <v>9</v>
      </c>
      <c r="BX50" s="31">
        <v>40210</v>
      </c>
      <c r="BY50" s="9">
        <v>4.5700000205209423E-2</v>
      </c>
      <c r="BZ50" s="67" t="e">
        <f>IF(BW50&lt;'DADOS DOS EMPREENDIMENTOS'!BY$11,0,IF(BW50='DADOS DOS EMPREENDIMENTOS'!BY$11,SUM(BY$41:BY50)*(1-'DADOS DOS EMPREENDIMENTOS'!#REF!-'DADOS DOS EMPREENDIMENTOS'!#REF!)+'DADOS DOS EMPREENDIMENTOS'!#REF!,IF(BW50='DADOS DOS EMPREENDIMENTOS'!BY$12,'DADOS DOS EMPREENDIMENTOS'!#REF!,BY50*(1-'DADOS DOS EMPREENDIMENTOS'!#REF!-'DADOS DOS EMPREENDIMENTOS'!#REF!))))</f>
        <v>#REF!</v>
      </c>
      <c r="CB50" s="52">
        <v>9</v>
      </c>
      <c r="CC50" s="31">
        <v>40210</v>
      </c>
      <c r="CD50" s="9">
        <v>4.5700000205209423E-2</v>
      </c>
      <c r="CE50" s="67" t="e">
        <f>IF(CB50&lt;'DADOS DOS EMPREENDIMENTOS'!CD$11,0,IF(CB50='DADOS DOS EMPREENDIMENTOS'!CD$11,SUM(CD$41:CD50)*(1-'DADOS DOS EMPREENDIMENTOS'!#REF!-'DADOS DOS EMPREENDIMENTOS'!#REF!)+'DADOS DOS EMPREENDIMENTOS'!#REF!,IF(CB50='DADOS DOS EMPREENDIMENTOS'!CD$12,'DADOS DOS EMPREENDIMENTOS'!#REF!,CD50*(1-'DADOS DOS EMPREENDIMENTOS'!#REF!-'DADOS DOS EMPREENDIMENTOS'!#REF!))))</f>
        <v>#REF!</v>
      </c>
      <c r="CG50" s="52"/>
      <c r="CH50" s="31"/>
      <c r="CI50" s="9"/>
      <c r="CJ50" s="67"/>
    </row>
    <row r="51" spans="15:88" ht="12.75" customHeight="1" thickBot="1" x14ac:dyDescent="0.25">
      <c r="O51" s="45">
        <v>36</v>
      </c>
      <c r="P51" s="640" t="s">
        <v>351</v>
      </c>
      <c r="Q51" s="677">
        <f>VLOOKUP(P51,Apoio!C:E,2,0)</f>
        <v>245940</v>
      </c>
      <c r="R51" s="641" t="s">
        <v>316</v>
      </c>
      <c r="S51" s="378">
        <v>5</v>
      </c>
      <c r="T51" s="52">
        <v>10</v>
      </c>
      <c r="U51" s="31"/>
      <c r="V51" s="9"/>
      <c r="W51" s="67"/>
      <c r="Y51" s="52">
        <v>10</v>
      </c>
      <c r="Z51" s="31"/>
      <c r="AA51" s="9"/>
      <c r="AB51" s="67"/>
      <c r="AD51" s="52">
        <v>10</v>
      </c>
      <c r="AE51" s="31">
        <v>40238</v>
      </c>
      <c r="AF51" s="9">
        <v>4.9899999900495845E-2</v>
      </c>
      <c r="AG51" s="67" t="e">
        <f>IF(AD51&lt;'DADOS DOS EMPREENDIMENTOS'!AF$11,0,IF(AD51='DADOS DOS EMPREENDIMENTOS'!AF$11,SUM(AF$41:AF51)*(1-'DADOS DOS EMPREENDIMENTOS'!#REF!-'DADOS DOS EMPREENDIMENTOS'!#REF!)+'DADOS DOS EMPREENDIMENTOS'!#REF!,IF(AD51='DADOS DOS EMPREENDIMENTOS'!#REF!,'DADOS DOS EMPREENDIMENTOS'!#REF!,AF51*(1-'DADOS DOS EMPREENDIMENTOS'!#REF!-'DADOS DOS EMPREENDIMENTOS'!#REF!))))</f>
        <v>#REF!</v>
      </c>
      <c r="AI51" s="52">
        <v>10</v>
      </c>
      <c r="AJ51" s="31">
        <v>40238</v>
      </c>
      <c r="AK51" s="9">
        <v>4.9899999900495845E-2</v>
      </c>
      <c r="AL51" s="67" t="e">
        <f>IF(AI51&lt;'DADOS DOS EMPREENDIMENTOS'!AK$11,0,IF(AI51='DADOS DOS EMPREENDIMENTOS'!AK$11,SUM(AK$41:AK51)*(1-'DADOS DOS EMPREENDIMENTOS'!#REF!-'DADOS DOS EMPREENDIMENTOS'!#REF!)+'DADOS DOS EMPREENDIMENTOS'!#REF!,IF(AI51='DADOS DOS EMPREENDIMENTOS'!#REF!,'DADOS DOS EMPREENDIMENTOS'!#REF!,AK51*(1-'DADOS DOS EMPREENDIMENTOS'!#REF!-'DADOS DOS EMPREENDIMENTOS'!#REF!))))</f>
        <v>#REF!</v>
      </c>
      <c r="AN51" s="52">
        <v>10</v>
      </c>
      <c r="AO51" s="31">
        <v>40238</v>
      </c>
      <c r="AP51" s="9">
        <v>4.9899999900495845E-2</v>
      </c>
      <c r="AQ51" s="67" t="e">
        <f>IF(AN51&lt;'DADOS DOS EMPREENDIMENTOS'!AP$11,0,IF(AN51='DADOS DOS EMPREENDIMENTOS'!AP$11,SUM(AP$41:AP51)*(1-'DADOS DOS EMPREENDIMENTOS'!#REF!-'DADOS DOS EMPREENDIMENTOS'!#REF!)+'DADOS DOS EMPREENDIMENTOS'!#REF!,IF(AN51='DADOS DOS EMPREENDIMENTOS'!#REF!,'DADOS DOS EMPREENDIMENTOS'!#REF!,AP51*(1-'DADOS DOS EMPREENDIMENTOS'!#REF!-'DADOS DOS EMPREENDIMENTOS'!#REF!))))</f>
        <v>#REF!</v>
      </c>
      <c r="AS51" s="52">
        <v>10</v>
      </c>
      <c r="AT51" s="31">
        <v>40238</v>
      </c>
      <c r="AU51" s="9">
        <v>4.9899999900495845E-2</v>
      </c>
      <c r="AV51" s="67" t="e">
        <f>IF(AS51&lt;'DADOS DOS EMPREENDIMENTOS'!AU$11,0,IF(AS51='DADOS DOS EMPREENDIMENTOS'!AU$11,SUM(AU$41:AU51)*(1-'DADOS DOS EMPREENDIMENTOS'!#REF!-'DADOS DOS EMPREENDIMENTOS'!#REF!)+'DADOS DOS EMPREENDIMENTOS'!#REF!,IF(AS51='DADOS DOS EMPREENDIMENTOS'!#REF!,'DADOS DOS EMPREENDIMENTOS'!#REF!,AU51*(1-'DADOS DOS EMPREENDIMENTOS'!#REF!-'DADOS DOS EMPREENDIMENTOS'!#REF!))))</f>
        <v>#REF!</v>
      </c>
      <c r="AX51" s="52">
        <v>10</v>
      </c>
      <c r="AY51" s="31">
        <v>40238</v>
      </c>
      <c r="AZ51" s="9">
        <v>4.9899999900495845E-2</v>
      </c>
      <c r="BA51" s="67" t="e">
        <f>IF(AX51&lt;'DADOS DOS EMPREENDIMENTOS'!AZ$11,0,IF(AX51='DADOS DOS EMPREENDIMENTOS'!AZ$11,SUM(AZ$41:AZ51)*(1-'DADOS DOS EMPREENDIMENTOS'!#REF!-'DADOS DOS EMPREENDIMENTOS'!#REF!)+'DADOS DOS EMPREENDIMENTOS'!#REF!,IF(AX51='DADOS DOS EMPREENDIMENTOS'!#REF!,'DADOS DOS EMPREENDIMENTOS'!#REF!,AZ51*(1-'DADOS DOS EMPREENDIMENTOS'!#REF!-'DADOS DOS EMPREENDIMENTOS'!#REF!))))</f>
        <v>#REF!</v>
      </c>
      <c r="BC51" s="52">
        <v>10</v>
      </c>
      <c r="BD51" s="31">
        <v>40238</v>
      </c>
      <c r="BE51" s="9">
        <v>4.9899999900495845E-2</v>
      </c>
      <c r="BF51" s="67" t="e">
        <f>IF(BC51&lt;'DADOS DOS EMPREENDIMENTOS'!BE$11,0,IF(BC51='DADOS DOS EMPREENDIMENTOS'!BE$11,SUM(BE$41:BE51)*(1-'DADOS DOS EMPREENDIMENTOS'!#REF!-'DADOS DOS EMPREENDIMENTOS'!#REF!)+'DADOS DOS EMPREENDIMENTOS'!#REF!,IF(BC51='DADOS DOS EMPREENDIMENTOS'!#REF!,'DADOS DOS EMPREENDIMENTOS'!#REF!,BE51*(1-'DADOS DOS EMPREENDIMENTOS'!#REF!-'DADOS DOS EMPREENDIMENTOS'!#REF!))))</f>
        <v>#REF!</v>
      </c>
      <c r="BH51" s="52">
        <v>10</v>
      </c>
      <c r="BI51" s="31">
        <v>40238</v>
      </c>
      <c r="BJ51" s="9">
        <v>4.9899999900495845E-2</v>
      </c>
      <c r="BK51" s="67" t="e">
        <f>IF(BH51&lt;'DADOS DOS EMPREENDIMENTOS'!BJ$11,0,IF(BH51='DADOS DOS EMPREENDIMENTOS'!BJ$11,SUM(BJ$41:BJ51)*(1-'DADOS DOS EMPREENDIMENTOS'!#REF!-'DADOS DOS EMPREENDIMENTOS'!#REF!)+'DADOS DOS EMPREENDIMENTOS'!#REF!,IF(BH51='DADOS DOS EMPREENDIMENTOS'!#REF!,'DADOS DOS EMPREENDIMENTOS'!#REF!,BJ51*(1-'DADOS DOS EMPREENDIMENTOS'!#REF!-'DADOS DOS EMPREENDIMENTOS'!#REF!))))</f>
        <v>#REF!</v>
      </c>
      <c r="BM51" s="52">
        <v>10</v>
      </c>
      <c r="BN51" s="31">
        <v>40238</v>
      </c>
      <c r="BO51" s="9">
        <v>4.9899999900495845E-2</v>
      </c>
      <c r="BP51" s="67" t="e">
        <f>IF(BM51&lt;'DADOS DOS EMPREENDIMENTOS'!BO$11,0,IF(BM51='DADOS DOS EMPREENDIMENTOS'!BO$11,SUM(BO$41:BO51)*(1-'DADOS DOS EMPREENDIMENTOS'!#REF!-'DADOS DOS EMPREENDIMENTOS'!#REF!)+'DADOS DOS EMPREENDIMENTOS'!#REF!,IF(BM51='DADOS DOS EMPREENDIMENTOS'!BO$12,'DADOS DOS EMPREENDIMENTOS'!#REF!,BO51*(1-'DADOS DOS EMPREENDIMENTOS'!#REF!-'DADOS DOS EMPREENDIMENTOS'!#REF!))))</f>
        <v>#REF!</v>
      </c>
      <c r="BR51" s="52">
        <v>10</v>
      </c>
      <c r="BS51" s="31">
        <v>40238</v>
      </c>
      <c r="BT51" s="9">
        <v>4.9899999900495845E-2</v>
      </c>
      <c r="BU51" s="67" t="e">
        <f>IF(BR51&lt;'DADOS DOS EMPREENDIMENTOS'!BT$11,0,IF(BR51='DADOS DOS EMPREENDIMENTOS'!BT$11,SUM(BT$41:BT51)*(1-'DADOS DOS EMPREENDIMENTOS'!#REF!-'DADOS DOS EMPREENDIMENTOS'!#REF!)+'DADOS DOS EMPREENDIMENTOS'!#REF!,IF(BR51='DADOS DOS EMPREENDIMENTOS'!BT$12,'DADOS DOS EMPREENDIMENTOS'!#REF!,BT51*(1-'DADOS DOS EMPREENDIMENTOS'!#REF!-'DADOS DOS EMPREENDIMENTOS'!#REF!))))</f>
        <v>#REF!</v>
      </c>
      <c r="BW51" s="52">
        <v>10</v>
      </c>
      <c r="BX51" s="31">
        <v>40238</v>
      </c>
      <c r="BY51" s="9">
        <v>4.9899999900495845E-2</v>
      </c>
      <c r="BZ51" s="67" t="e">
        <f>IF(BW51&lt;'DADOS DOS EMPREENDIMENTOS'!BY$11,0,IF(BW51='DADOS DOS EMPREENDIMENTOS'!BY$11,SUM(BY$41:BY51)*(1-'DADOS DOS EMPREENDIMENTOS'!#REF!-'DADOS DOS EMPREENDIMENTOS'!#REF!)+'DADOS DOS EMPREENDIMENTOS'!#REF!,IF(BW51='DADOS DOS EMPREENDIMENTOS'!BY$12,'DADOS DOS EMPREENDIMENTOS'!#REF!,BY51*(1-'DADOS DOS EMPREENDIMENTOS'!#REF!-'DADOS DOS EMPREENDIMENTOS'!#REF!))))</f>
        <v>#REF!</v>
      </c>
      <c r="CB51" s="52">
        <v>10</v>
      </c>
      <c r="CC51" s="31">
        <v>40238</v>
      </c>
      <c r="CD51" s="9">
        <v>4.9899999900495845E-2</v>
      </c>
      <c r="CE51" s="67" t="e">
        <f>IF(CB51&lt;'DADOS DOS EMPREENDIMENTOS'!CD$11,0,IF(CB51='DADOS DOS EMPREENDIMENTOS'!CD$11,SUM(CD$41:CD51)*(1-'DADOS DOS EMPREENDIMENTOS'!#REF!-'DADOS DOS EMPREENDIMENTOS'!#REF!)+'DADOS DOS EMPREENDIMENTOS'!#REF!,IF(CB51='DADOS DOS EMPREENDIMENTOS'!CD$12,'DADOS DOS EMPREENDIMENTOS'!#REF!,CD51*(1-'DADOS DOS EMPREENDIMENTOS'!#REF!-'DADOS DOS EMPREENDIMENTOS'!#REF!))))</f>
        <v>#REF!</v>
      </c>
      <c r="CG51" s="52"/>
      <c r="CH51" s="31"/>
      <c r="CI51" s="9"/>
      <c r="CJ51" s="67"/>
    </row>
    <row r="52" spans="15:88" ht="12.75" customHeight="1" thickBot="1" x14ac:dyDescent="0.25">
      <c r="O52" s="43">
        <v>37</v>
      </c>
      <c r="P52" s="640" t="s">
        <v>352</v>
      </c>
      <c r="Q52" s="677">
        <f>VLOOKUP(P52,Apoio!C:E,2,0)</f>
        <v>245940</v>
      </c>
      <c r="R52" s="641" t="s">
        <v>316</v>
      </c>
      <c r="S52" s="378">
        <v>5</v>
      </c>
      <c r="T52" s="52">
        <v>11</v>
      </c>
      <c r="U52" s="31"/>
      <c r="V52" s="9"/>
      <c r="W52" s="67"/>
      <c r="Y52" s="52">
        <v>11</v>
      </c>
      <c r="Z52" s="31"/>
      <c r="AA52" s="9"/>
      <c r="AB52" s="67"/>
      <c r="AD52" s="52">
        <v>11</v>
      </c>
      <c r="AE52" s="31">
        <v>40269</v>
      </c>
      <c r="AF52" s="9">
        <v>5.7199999961457637E-2</v>
      </c>
      <c r="AG52" s="67" t="e">
        <f>IF(AD52&lt;'DADOS DOS EMPREENDIMENTOS'!AF$11,0,IF(AD52='DADOS DOS EMPREENDIMENTOS'!AF$11,SUM(AF$41:AF52)*(1-'DADOS DOS EMPREENDIMENTOS'!#REF!-'DADOS DOS EMPREENDIMENTOS'!#REF!)+'DADOS DOS EMPREENDIMENTOS'!#REF!,IF(AD52='DADOS DOS EMPREENDIMENTOS'!#REF!,'DADOS DOS EMPREENDIMENTOS'!#REF!,AF52*(1-'DADOS DOS EMPREENDIMENTOS'!#REF!-'DADOS DOS EMPREENDIMENTOS'!#REF!))))</f>
        <v>#REF!</v>
      </c>
      <c r="AI52" s="52">
        <v>11</v>
      </c>
      <c r="AJ52" s="31">
        <v>40269</v>
      </c>
      <c r="AK52" s="9">
        <v>5.7199999961457637E-2</v>
      </c>
      <c r="AL52" s="67" t="e">
        <f>IF(AI52&lt;'DADOS DOS EMPREENDIMENTOS'!AK$11,0,IF(AI52='DADOS DOS EMPREENDIMENTOS'!AK$11,SUM(AK$41:AK52)*(1-'DADOS DOS EMPREENDIMENTOS'!#REF!-'DADOS DOS EMPREENDIMENTOS'!#REF!)+'DADOS DOS EMPREENDIMENTOS'!#REF!,IF(AI52='DADOS DOS EMPREENDIMENTOS'!#REF!,'DADOS DOS EMPREENDIMENTOS'!#REF!,AK52*(1-'DADOS DOS EMPREENDIMENTOS'!#REF!-'DADOS DOS EMPREENDIMENTOS'!#REF!))))</f>
        <v>#REF!</v>
      </c>
      <c r="AN52" s="52">
        <v>11</v>
      </c>
      <c r="AO52" s="31">
        <v>40269</v>
      </c>
      <c r="AP52" s="9">
        <v>5.7199999961457637E-2</v>
      </c>
      <c r="AQ52" s="67" t="e">
        <f>IF(AN52&lt;'DADOS DOS EMPREENDIMENTOS'!AP$11,0,IF(AN52='DADOS DOS EMPREENDIMENTOS'!AP$11,SUM(AP$41:AP52)*(1-'DADOS DOS EMPREENDIMENTOS'!#REF!-'DADOS DOS EMPREENDIMENTOS'!#REF!)+'DADOS DOS EMPREENDIMENTOS'!#REF!,IF(AN52='DADOS DOS EMPREENDIMENTOS'!#REF!,'DADOS DOS EMPREENDIMENTOS'!#REF!,AP52*(1-'DADOS DOS EMPREENDIMENTOS'!#REF!-'DADOS DOS EMPREENDIMENTOS'!#REF!))))</f>
        <v>#REF!</v>
      </c>
      <c r="AS52" s="52">
        <v>11</v>
      </c>
      <c r="AT52" s="31">
        <v>40269</v>
      </c>
      <c r="AU52" s="9">
        <v>5.7199999961457637E-2</v>
      </c>
      <c r="AV52" s="67" t="e">
        <f>IF(AS52&lt;'DADOS DOS EMPREENDIMENTOS'!AU$11,0,IF(AS52='DADOS DOS EMPREENDIMENTOS'!AU$11,SUM(AU$41:AU52)*(1-'DADOS DOS EMPREENDIMENTOS'!#REF!-'DADOS DOS EMPREENDIMENTOS'!#REF!)+'DADOS DOS EMPREENDIMENTOS'!#REF!,IF(AS52='DADOS DOS EMPREENDIMENTOS'!#REF!,'DADOS DOS EMPREENDIMENTOS'!#REF!,AU52*(1-'DADOS DOS EMPREENDIMENTOS'!#REF!-'DADOS DOS EMPREENDIMENTOS'!#REF!))))</f>
        <v>#REF!</v>
      </c>
      <c r="AX52" s="52">
        <v>11</v>
      </c>
      <c r="AY52" s="31">
        <v>40269</v>
      </c>
      <c r="AZ52" s="9">
        <v>5.7199999961457637E-2</v>
      </c>
      <c r="BA52" s="67" t="e">
        <f>IF(AX52&lt;'DADOS DOS EMPREENDIMENTOS'!AZ$11,0,IF(AX52='DADOS DOS EMPREENDIMENTOS'!AZ$11,SUM(AZ$41:AZ52)*(1-'DADOS DOS EMPREENDIMENTOS'!#REF!-'DADOS DOS EMPREENDIMENTOS'!#REF!)+'DADOS DOS EMPREENDIMENTOS'!#REF!,IF(AX52='DADOS DOS EMPREENDIMENTOS'!#REF!,'DADOS DOS EMPREENDIMENTOS'!#REF!,AZ52*(1-'DADOS DOS EMPREENDIMENTOS'!#REF!-'DADOS DOS EMPREENDIMENTOS'!#REF!))))</f>
        <v>#REF!</v>
      </c>
      <c r="BC52" s="52">
        <v>11</v>
      </c>
      <c r="BD52" s="31">
        <v>40269</v>
      </c>
      <c r="BE52" s="9">
        <v>5.7199999961457637E-2</v>
      </c>
      <c r="BF52" s="67" t="e">
        <f>IF(BC52&lt;'DADOS DOS EMPREENDIMENTOS'!BE$11,0,IF(BC52='DADOS DOS EMPREENDIMENTOS'!BE$11,SUM(BE$41:BE52)*(1-'DADOS DOS EMPREENDIMENTOS'!#REF!-'DADOS DOS EMPREENDIMENTOS'!#REF!)+'DADOS DOS EMPREENDIMENTOS'!#REF!,IF(BC52='DADOS DOS EMPREENDIMENTOS'!#REF!,'DADOS DOS EMPREENDIMENTOS'!#REF!,BE52*(1-'DADOS DOS EMPREENDIMENTOS'!#REF!-'DADOS DOS EMPREENDIMENTOS'!#REF!))))</f>
        <v>#REF!</v>
      </c>
      <c r="BH52" s="52">
        <v>11</v>
      </c>
      <c r="BI52" s="31">
        <v>40269</v>
      </c>
      <c r="BJ52" s="9">
        <v>5.7199999961457637E-2</v>
      </c>
      <c r="BK52" s="67" t="e">
        <f>IF(BH52&lt;'DADOS DOS EMPREENDIMENTOS'!BJ$11,0,IF(BH52='DADOS DOS EMPREENDIMENTOS'!BJ$11,SUM(BJ$41:BJ52)*(1-'DADOS DOS EMPREENDIMENTOS'!#REF!-'DADOS DOS EMPREENDIMENTOS'!#REF!)+'DADOS DOS EMPREENDIMENTOS'!#REF!,IF(BH52='DADOS DOS EMPREENDIMENTOS'!#REF!,'DADOS DOS EMPREENDIMENTOS'!#REF!,BJ52*(1-'DADOS DOS EMPREENDIMENTOS'!#REF!-'DADOS DOS EMPREENDIMENTOS'!#REF!))))</f>
        <v>#REF!</v>
      </c>
      <c r="BM52" s="52">
        <v>11</v>
      </c>
      <c r="BN52" s="31">
        <v>40269</v>
      </c>
      <c r="BO52" s="9">
        <v>5.7199999961457637E-2</v>
      </c>
      <c r="BP52" s="67" t="e">
        <f>IF(BM52&lt;'DADOS DOS EMPREENDIMENTOS'!BO$11,0,IF(BM52='DADOS DOS EMPREENDIMENTOS'!BO$11,SUM(BO$41:BO52)*(1-'DADOS DOS EMPREENDIMENTOS'!#REF!-'DADOS DOS EMPREENDIMENTOS'!#REF!)+'DADOS DOS EMPREENDIMENTOS'!#REF!,IF(BM52='DADOS DOS EMPREENDIMENTOS'!BO$12,'DADOS DOS EMPREENDIMENTOS'!#REF!,BO52*(1-'DADOS DOS EMPREENDIMENTOS'!#REF!-'DADOS DOS EMPREENDIMENTOS'!#REF!))))</f>
        <v>#REF!</v>
      </c>
      <c r="BR52" s="52">
        <v>11</v>
      </c>
      <c r="BS52" s="31">
        <v>40269</v>
      </c>
      <c r="BT52" s="9">
        <v>5.7199999961457637E-2</v>
      </c>
      <c r="BU52" s="67" t="e">
        <f>IF(BR52&lt;'DADOS DOS EMPREENDIMENTOS'!BT$11,0,IF(BR52='DADOS DOS EMPREENDIMENTOS'!BT$11,SUM(BT$41:BT52)*(1-'DADOS DOS EMPREENDIMENTOS'!#REF!-'DADOS DOS EMPREENDIMENTOS'!#REF!)+'DADOS DOS EMPREENDIMENTOS'!#REF!,IF(BR52='DADOS DOS EMPREENDIMENTOS'!BT$12,'DADOS DOS EMPREENDIMENTOS'!#REF!,BT52*(1-'DADOS DOS EMPREENDIMENTOS'!#REF!-'DADOS DOS EMPREENDIMENTOS'!#REF!))))</f>
        <v>#REF!</v>
      </c>
      <c r="BW52" s="52">
        <v>11</v>
      </c>
      <c r="BX52" s="31">
        <v>40269</v>
      </c>
      <c r="BY52" s="9">
        <v>5.7199999961457637E-2</v>
      </c>
      <c r="BZ52" s="67" t="e">
        <f>IF(BW52&lt;'DADOS DOS EMPREENDIMENTOS'!BY$11,0,IF(BW52='DADOS DOS EMPREENDIMENTOS'!BY$11,SUM(BY$41:BY52)*(1-'DADOS DOS EMPREENDIMENTOS'!#REF!-'DADOS DOS EMPREENDIMENTOS'!#REF!)+'DADOS DOS EMPREENDIMENTOS'!#REF!,IF(BW52='DADOS DOS EMPREENDIMENTOS'!BY$12,'DADOS DOS EMPREENDIMENTOS'!#REF!,BY52*(1-'DADOS DOS EMPREENDIMENTOS'!#REF!-'DADOS DOS EMPREENDIMENTOS'!#REF!))))</f>
        <v>#REF!</v>
      </c>
      <c r="CB52" s="52">
        <v>11</v>
      </c>
      <c r="CC52" s="31">
        <v>40269</v>
      </c>
      <c r="CD52" s="9">
        <v>5.7199999961457637E-2</v>
      </c>
      <c r="CE52" s="67" t="e">
        <f>IF(CB52&lt;'DADOS DOS EMPREENDIMENTOS'!CD$11,0,IF(CB52='DADOS DOS EMPREENDIMENTOS'!CD$11,SUM(CD$41:CD52)*(1-'DADOS DOS EMPREENDIMENTOS'!#REF!-'DADOS DOS EMPREENDIMENTOS'!#REF!)+'DADOS DOS EMPREENDIMENTOS'!#REF!,IF(CB52='DADOS DOS EMPREENDIMENTOS'!CD$12,'DADOS DOS EMPREENDIMENTOS'!#REF!,CD52*(1-'DADOS DOS EMPREENDIMENTOS'!#REF!-'DADOS DOS EMPREENDIMENTOS'!#REF!))))</f>
        <v>#REF!</v>
      </c>
      <c r="CG52" s="52"/>
      <c r="CH52" s="31"/>
      <c r="CI52" s="9"/>
      <c r="CJ52" s="67"/>
    </row>
    <row r="53" spans="15:88" ht="12.75" customHeight="1" thickBot="1" x14ac:dyDescent="0.25">
      <c r="O53" s="45">
        <v>38</v>
      </c>
      <c r="P53" s="640" t="s">
        <v>353</v>
      </c>
      <c r="Q53" s="677">
        <f>VLOOKUP(P53,Apoio!C:E,2,0)</f>
        <v>246040</v>
      </c>
      <c r="R53" s="641" t="s">
        <v>316</v>
      </c>
      <c r="S53" s="378">
        <v>5</v>
      </c>
      <c r="T53" s="52">
        <v>12</v>
      </c>
      <c r="U53" s="31"/>
      <c r="V53" s="9"/>
      <c r="W53" s="67"/>
      <c r="Y53" s="52">
        <v>12</v>
      </c>
      <c r="Z53" s="31"/>
      <c r="AA53" s="9"/>
      <c r="AB53" s="67"/>
      <c r="AD53" s="52">
        <v>12</v>
      </c>
      <c r="AE53" s="31">
        <v>40299</v>
      </c>
      <c r="AF53" s="9">
        <v>6.7300000137283295E-2</v>
      </c>
      <c r="AG53" s="67" t="e">
        <f>IF(AD53&lt;'DADOS DOS EMPREENDIMENTOS'!AF$11,0,IF(AD53='DADOS DOS EMPREENDIMENTOS'!AF$11,SUM(AF$41:AF53)*(1-'DADOS DOS EMPREENDIMENTOS'!#REF!-'DADOS DOS EMPREENDIMENTOS'!#REF!)+'DADOS DOS EMPREENDIMENTOS'!#REF!,IF(AD53='DADOS DOS EMPREENDIMENTOS'!#REF!,'DADOS DOS EMPREENDIMENTOS'!#REF!,AF53*(1-'DADOS DOS EMPREENDIMENTOS'!#REF!-'DADOS DOS EMPREENDIMENTOS'!#REF!))))</f>
        <v>#REF!</v>
      </c>
      <c r="AI53" s="52">
        <v>12</v>
      </c>
      <c r="AJ53" s="31">
        <v>40299</v>
      </c>
      <c r="AK53" s="9">
        <v>6.7300000137283295E-2</v>
      </c>
      <c r="AL53" s="67" t="e">
        <f>IF(AI53&lt;'DADOS DOS EMPREENDIMENTOS'!AK$11,0,IF(AI53='DADOS DOS EMPREENDIMENTOS'!AK$11,SUM(AK$41:AK53)*(1-'DADOS DOS EMPREENDIMENTOS'!#REF!-'DADOS DOS EMPREENDIMENTOS'!#REF!)+'DADOS DOS EMPREENDIMENTOS'!#REF!,IF(AI53='DADOS DOS EMPREENDIMENTOS'!#REF!,'DADOS DOS EMPREENDIMENTOS'!#REF!,AK53*(1-'DADOS DOS EMPREENDIMENTOS'!#REF!-'DADOS DOS EMPREENDIMENTOS'!#REF!))))</f>
        <v>#REF!</v>
      </c>
      <c r="AN53" s="52">
        <v>12</v>
      </c>
      <c r="AO53" s="31">
        <v>40299</v>
      </c>
      <c r="AP53" s="9">
        <v>6.7300000137283295E-2</v>
      </c>
      <c r="AQ53" s="67" t="e">
        <f>IF(AN53&lt;'DADOS DOS EMPREENDIMENTOS'!AP$11,0,IF(AN53='DADOS DOS EMPREENDIMENTOS'!AP$11,SUM(AP$41:AP53)*(1-'DADOS DOS EMPREENDIMENTOS'!#REF!-'DADOS DOS EMPREENDIMENTOS'!#REF!)+'DADOS DOS EMPREENDIMENTOS'!#REF!,IF(AN53='DADOS DOS EMPREENDIMENTOS'!#REF!,'DADOS DOS EMPREENDIMENTOS'!#REF!,AP53*(1-'DADOS DOS EMPREENDIMENTOS'!#REF!-'DADOS DOS EMPREENDIMENTOS'!#REF!))))</f>
        <v>#REF!</v>
      </c>
      <c r="AS53" s="52">
        <v>12</v>
      </c>
      <c r="AT53" s="31">
        <v>40299</v>
      </c>
      <c r="AU53" s="9">
        <v>6.7300000137283295E-2</v>
      </c>
      <c r="AV53" s="67" t="e">
        <f>IF(AS53&lt;'DADOS DOS EMPREENDIMENTOS'!AU$11,0,IF(AS53='DADOS DOS EMPREENDIMENTOS'!AU$11,SUM(AU$41:AU53)*(1-'DADOS DOS EMPREENDIMENTOS'!#REF!-'DADOS DOS EMPREENDIMENTOS'!#REF!)+'DADOS DOS EMPREENDIMENTOS'!#REF!,IF(AS53='DADOS DOS EMPREENDIMENTOS'!#REF!,'DADOS DOS EMPREENDIMENTOS'!#REF!,AU53*(1-'DADOS DOS EMPREENDIMENTOS'!#REF!-'DADOS DOS EMPREENDIMENTOS'!#REF!))))</f>
        <v>#REF!</v>
      </c>
      <c r="AX53" s="52">
        <v>12</v>
      </c>
      <c r="AY53" s="31">
        <v>40299</v>
      </c>
      <c r="AZ53" s="9">
        <v>6.7300000137283295E-2</v>
      </c>
      <c r="BA53" s="67" t="e">
        <f>IF(AX53&lt;'DADOS DOS EMPREENDIMENTOS'!AZ$11,0,IF(AX53='DADOS DOS EMPREENDIMENTOS'!AZ$11,SUM(AZ$41:AZ53)*(1-'DADOS DOS EMPREENDIMENTOS'!#REF!-'DADOS DOS EMPREENDIMENTOS'!#REF!)+'DADOS DOS EMPREENDIMENTOS'!#REF!,IF(AX53='DADOS DOS EMPREENDIMENTOS'!#REF!,'DADOS DOS EMPREENDIMENTOS'!#REF!,AZ53*(1-'DADOS DOS EMPREENDIMENTOS'!#REF!-'DADOS DOS EMPREENDIMENTOS'!#REF!))))</f>
        <v>#REF!</v>
      </c>
      <c r="BC53" s="52">
        <v>12</v>
      </c>
      <c r="BD53" s="31">
        <v>40299</v>
      </c>
      <c r="BE53" s="9">
        <v>6.7300000137283295E-2</v>
      </c>
      <c r="BF53" s="67" t="e">
        <f>IF(BC53&lt;'DADOS DOS EMPREENDIMENTOS'!BE$11,0,IF(BC53='DADOS DOS EMPREENDIMENTOS'!BE$11,SUM(BE$41:BE53)*(1-'DADOS DOS EMPREENDIMENTOS'!#REF!-'DADOS DOS EMPREENDIMENTOS'!#REF!)+'DADOS DOS EMPREENDIMENTOS'!#REF!,IF(BC53='DADOS DOS EMPREENDIMENTOS'!#REF!,'DADOS DOS EMPREENDIMENTOS'!#REF!,BE53*(1-'DADOS DOS EMPREENDIMENTOS'!#REF!-'DADOS DOS EMPREENDIMENTOS'!#REF!))))</f>
        <v>#REF!</v>
      </c>
      <c r="BH53" s="52">
        <v>12</v>
      </c>
      <c r="BI53" s="31">
        <v>40299</v>
      </c>
      <c r="BJ53" s="9">
        <v>6.7300000137283295E-2</v>
      </c>
      <c r="BK53" s="67" t="e">
        <f>IF(BH53&lt;'DADOS DOS EMPREENDIMENTOS'!BJ$11,0,IF(BH53='DADOS DOS EMPREENDIMENTOS'!BJ$11,SUM(BJ$41:BJ53)*(1-'DADOS DOS EMPREENDIMENTOS'!#REF!-'DADOS DOS EMPREENDIMENTOS'!#REF!)+'DADOS DOS EMPREENDIMENTOS'!#REF!,IF(BH53='DADOS DOS EMPREENDIMENTOS'!#REF!,'DADOS DOS EMPREENDIMENTOS'!#REF!,BJ53*(1-'DADOS DOS EMPREENDIMENTOS'!#REF!-'DADOS DOS EMPREENDIMENTOS'!#REF!))))</f>
        <v>#REF!</v>
      </c>
      <c r="BM53" s="52">
        <v>12</v>
      </c>
      <c r="BN53" s="31">
        <v>40299</v>
      </c>
      <c r="BO53" s="9">
        <v>6.7300000137283295E-2</v>
      </c>
      <c r="BP53" s="67" t="e">
        <f>IF(BM53&lt;'DADOS DOS EMPREENDIMENTOS'!BO$11,0,IF(BM53='DADOS DOS EMPREENDIMENTOS'!BO$11,SUM(BO$41:BO53)*(1-'DADOS DOS EMPREENDIMENTOS'!#REF!-'DADOS DOS EMPREENDIMENTOS'!#REF!)+'DADOS DOS EMPREENDIMENTOS'!#REF!,IF(BM53='DADOS DOS EMPREENDIMENTOS'!BO$12,'DADOS DOS EMPREENDIMENTOS'!#REF!,BO53*(1-'DADOS DOS EMPREENDIMENTOS'!#REF!-'DADOS DOS EMPREENDIMENTOS'!#REF!))))</f>
        <v>#REF!</v>
      </c>
      <c r="BR53" s="52">
        <v>12</v>
      </c>
      <c r="BS53" s="31">
        <v>40299</v>
      </c>
      <c r="BT53" s="9">
        <v>6.7300000137283295E-2</v>
      </c>
      <c r="BU53" s="67" t="e">
        <f>IF(BR53&lt;'DADOS DOS EMPREENDIMENTOS'!BT$11,0,IF(BR53='DADOS DOS EMPREENDIMENTOS'!BT$11,SUM(BT$41:BT53)*(1-'DADOS DOS EMPREENDIMENTOS'!#REF!-'DADOS DOS EMPREENDIMENTOS'!#REF!)+'DADOS DOS EMPREENDIMENTOS'!#REF!,IF(BR53='DADOS DOS EMPREENDIMENTOS'!BT$12,'DADOS DOS EMPREENDIMENTOS'!#REF!,BT53*(1-'DADOS DOS EMPREENDIMENTOS'!#REF!-'DADOS DOS EMPREENDIMENTOS'!#REF!))))</f>
        <v>#REF!</v>
      </c>
      <c r="BW53" s="52">
        <v>12</v>
      </c>
      <c r="BX53" s="31">
        <v>40299</v>
      </c>
      <c r="BY53" s="9">
        <v>6.7300000137283295E-2</v>
      </c>
      <c r="BZ53" s="67" t="e">
        <f>IF(BW53&lt;'DADOS DOS EMPREENDIMENTOS'!BY$11,0,IF(BW53='DADOS DOS EMPREENDIMENTOS'!BY$11,SUM(BY$41:BY53)*(1-'DADOS DOS EMPREENDIMENTOS'!#REF!-'DADOS DOS EMPREENDIMENTOS'!#REF!)+'DADOS DOS EMPREENDIMENTOS'!#REF!,IF(BW53='DADOS DOS EMPREENDIMENTOS'!BY$12,'DADOS DOS EMPREENDIMENTOS'!#REF!,BY53*(1-'DADOS DOS EMPREENDIMENTOS'!#REF!-'DADOS DOS EMPREENDIMENTOS'!#REF!))))</f>
        <v>#REF!</v>
      </c>
      <c r="CB53" s="52">
        <v>12</v>
      </c>
      <c r="CC53" s="31">
        <v>40299</v>
      </c>
      <c r="CD53" s="9">
        <v>6.7300000137283295E-2</v>
      </c>
      <c r="CE53" s="67" t="e">
        <f>IF(CB53&lt;'DADOS DOS EMPREENDIMENTOS'!CD$11,0,IF(CB53='DADOS DOS EMPREENDIMENTOS'!CD$11,SUM(CD$41:CD53)*(1-'DADOS DOS EMPREENDIMENTOS'!#REF!-'DADOS DOS EMPREENDIMENTOS'!#REF!)+'DADOS DOS EMPREENDIMENTOS'!#REF!,IF(CB53='DADOS DOS EMPREENDIMENTOS'!CD$12,'DADOS DOS EMPREENDIMENTOS'!#REF!,CD53*(1-'DADOS DOS EMPREENDIMENTOS'!#REF!-'DADOS DOS EMPREENDIMENTOS'!#REF!))))</f>
        <v>#REF!</v>
      </c>
      <c r="CG53" s="52"/>
      <c r="CH53" s="31"/>
      <c r="CI53" s="9"/>
      <c r="CJ53" s="67"/>
    </row>
    <row r="54" spans="15:88" ht="12.75" customHeight="1" thickBot="1" x14ac:dyDescent="0.25">
      <c r="O54" s="43">
        <v>39</v>
      </c>
      <c r="P54" s="640" t="s">
        <v>354</v>
      </c>
      <c r="Q54" s="677">
        <f>VLOOKUP(P54,Apoio!C:E,2,0)</f>
        <v>246030</v>
      </c>
      <c r="R54" s="641" t="s">
        <v>316</v>
      </c>
      <c r="S54" s="378">
        <v>5</v>
      </c>
      <c r="T54" s="52">
        <v>13</v>
      </c>
      <c r="U54" s="31"/>
      <c r="V54" s="9"/>
      <c r="W54" s="67"/>
      <c r="Y54" s="52">
        <v>13</v>
      </c>
      <c r="Z54" s="31"/>
      <c r="AA54" s="9"/>
      <c r="AB54" s="67"/>
      <c r="AD54" s="52">
        <v>13</v>
      </c>
      <c r="AE54" s="31">
        <v>40330</v>
      </c>
      <c r="AF54" s="9">
        <v>8.6299999962697868E-2</v>
      </c>
      <c r="AG54" s="67" t="e">
        <f>IF(AD54&lt;'DADOS DOS EMPREENDIMENTOS'!AF$11,0,IF(AD54='DADOS DOS EMPREENDIMENTOS'!AF$11,SUM(AF$41:AF54)*(1-'DADOS DOS EMPREENDIMENTOS'!#REF!-'DADOS DOS EMPREENDIMENTOS'!#REF!)+'DADOS DOS EMPREENDIMENTOS'!#REF!,IF(AD54='DADOS DOS EMPREENDIMENTOS'!#REF!,'DADOS DOS EMPREENDIMENTOS'!#REF!,AF54*(1-'DADOS DOS EMPREENDIMENTOS'!#REF!-'DADOS DOS EMPREENDIMENTOS'!#REF!))))</f>
        <v>#REF!</v>
      </c>
      <c r="AI54" s="52">
        <v>13</v>
      </c>
      <c r="AJ54" s="31">
        <v>40330</v>
      </c>
      <c r="AK54" s="9">
        <v>8.6299999962697868E-2</v>
      </c>
      <c r="AL54" s="67" t="e">
        <f>IF(AI54&lt;'DADOS DOS EMPREENDIMENTOS'!AK$11,0,IF(AI54='DADOS DOS EMPREENDIMENTOS'!AK$11,SUM(AK$41:AK54)*(1-'DADOS DOS EMPREENDIMENTOS'!#REF!-'DADOS DOS EMPREENDIMENTOS'!#REF!)+'DADOS DOS EMPREENDIMENTOS'!#REF!,IF(AI54='DADOS DOS EMPREENDIMENTOS'!#REF!,'DADOS DOS EMPREENDIMENTOS'!#REF!,AK54*(1-'DADOS DOS EMPREENDIMENTOS'!#REF!-'DADOS DOS EMPREENDIMENTOS'!#REF!))))</f>
        <v>#REF!</v>
      </c>
      <c r="AN54" s="52">
        <v>13</v>
      </c>
      <c r="AO54" s="31">
        <v>40330</v>
      </c>
      <c r="AP54" s="9">
        <v>8.6299999962697868E-2</v>
      </c>
      <c r="AQ54" s="67" t="e">
        <f>IF(AN54&lt;'DADOS DOS EMPREENDIMENTOS'!AP$11,0,IF(AN54='DADOS DOS EMPREENDIMENTOS'!AP$11,SUM(AP$41:AP54)*(1-'DADOS DOS EMPREENDIMENTOS'!#REF!-'DADOS DOS EMPREENDIMENTOS'!#REF!)+'DADOS DOS EMPREENDIMENTOS'!#REF!,IF(AN54='DADOS DOS EMPREENDIMENTOS'!#REF!,'DADOS DOS EMPREENDIMENTOS'!#REF!,AP54*(1-'DADOS DOS EMPREENDIMENTOS'!#REF!-'DADOS DOS EMPREENDIMENTOS'!#REF!))))</f>
        <v>#REF!</v>
      </c>
      <c r="AS54" s="52">
        <v>13</v>
      </c>
      <c r="AT54" s="31">
        <v>40330</v>
      </c>
      <c r="AU54" s="9">
        <v>8.6299999962697868E-2</v>
      </c>
      <c r="AV54" s="67" t="e">
        <f>IF(AS54&lt;'DADOS DOS EMPREENDIMENTOS'!AU$11,0,IF(AS54='DADOS DOS EMPREENDIMENTOS'!AU$11,SUM(AU$41:AU54)*(1-'DADOS DOS EMPREENDIMENTOS'!#REF!-'DADOS DOS EMPREENDIMENTOS'!#REF!)+'DADOS DOS EMPREENDIMENTOS'!#REF!,IF(AS54='DADOS DOS EMPREENDIMENTOS'!#REF!,'DADOS DOS EMPREENDIMENTOS'!#REF!,AU54*(1-'DADOS DOS EMPREENDIMENTOS'!#REF!-'DADOS DOS EMPREENDIMENTOS'!#REF!))))</f>
        <v>#REF!</v>
      </c>
      <c r="AX54" s="52">
        <v>13</v>
      </c>
      <c r="AY54" s="31">
        <v>40330</v>
      </c>
      <c r="AZ54" s="9">
        <v>8.6299999962697868E-2</v>
      </c>
      <c r="BA54" s="67" t="e">
        <f>IF(AX54&lt;'DADOS DOS EMPREENDIMENTOS'!AZ$11,0,IF(AX54='DADOS DOS EMPREENDIMENTOS'!AZ$11,SUM(AZ$41:AZ54)*(1-'DADOS DOS EMPREENDIMENTOS'!#REF!-'DADOS DOS EMPREENDIMENTOS'!#REF!)+'DADOS DOS EMPREENDIMENTOS'!#REF!,IF(AX54='DADOS DOS EMPREENDIMENTOS'!#REF!,'DADOS DOS EMPREENDIMENTOS'!#REF!,AZ54*(1-'DADOS DOS EMPREENDIMENTOS'!#REF!-'DADOS DOS EMPREENDIMENTOS'!#REF!))))</f>
        <v>#REF!</v>
      </c>
      <c r="BC54" s="52">
        <v>13</v>
      </c>
      <c r="BD54" s="31">
        <v>40330</v>
      </c>
      <c r="BE54" s="9">
        <v>8.6299999962697868E-2</v>
      </c>
      <c r="BF54" s="67" t="e">
        <f>IF(BC54&lt;'DADOS DOS EMPREENDIMENTOS'!BE$11,0,IF(BC54='DADOS DOS EMPREENDIMENTOS'!BE$11,SUM(BE$41:BE54)*(1-'DADOS DOS EMPREENDIMENTOS'!#REF!-'DADOS DOS EMPREENDIMENTOS'!#REF!)+'DADOS DOS EMPREENDIMENTOS'!#REF!,IF(BC54='DADOS DOS EMPREENDIMENTOS'!#REF!,'DADOS DOS EMPREENDIMENTOS'!#REF!,BE54*(1-'DADOS DOS EMPREENDIMENTOS'!#REF!-'DADOS DOS EMPREENDIMENTOS'!#REF!))))</f>
        <v>#REF!</v>
      </c>
      <c r="BH54" s="52">
        <v>13</v>
      </c>
      <c r="BI54" s="31">
        <v>40330</v>
      </c>
      <c r="BJ54" s="9">
        <v>8.6299999962697868E-2</v>
      </c>
      <c r="BK54" s="67" t="e">
        <f>IF(BH54&lt;'DADOS DOS EMPREENDIMENTOS'!BJ$11,0,IF(BH54='DADOS DOS EMPREENDIMENTOS'!BJ$11,SUM(BJ$41:BJ54)*(1-'DADOS DOS EMPREENDIMENTOS'!#REF!-'DADOS DOS EMPREENDIMENTOS'!#REF!)+'DADOS DOS EMPREENDIMENTOS'!#REF!,IF(BH54='DADOS DOS EMPREENDIMENTOS'!#REF!,'DADOS DOS EMPREENDIMENTOS'!#REF!,BJ54*(1-'DADOS DOS EMPREENDIMENTOS'!#REF!-'DADOS DOS EMPREENDIMENTOS'!#REF!))))</f>
        <v>#REF!</v>
      </c>
      <c r="BM54" s="52">
        <v>13</v>
      </c>
      <c r="BN54" s="31">
        <v>40330</v>
      </c>
      <c r="BO54" s="9">
        <v>8.6299999962697868E-2</v>
      </c>
      <c r="BP54" s="67" t="e">
        <f>IF(BM54&lt;'DADOS DOS EMPREENDIMENTOS'!BO$11,0,IF(BM54='DADOS DOS EMPREENDIMENTOS'!BO$11,SUM(BO$41:BO54)*(1-'DADOS DOS EMPREENDIMENTOS'!#REF!-'DADOS DOS EMPREENDIMENTOS'!#REF!)+'DADOS DOS EMPREENDIMENTOS'!#REF!,IF(BM54='DADOS DOS EMPREENDIMENTOS'!BO$12,'DADOS DOS EMPREENDIMENTOS'!#REF!,BO54*(1-'DADOS DOS EMPREENDIMENTOS'!#REF!-'DADOS DOS EMPREENDIMENTOS'!#REF!))))</f>
        <v>#REF!</v>
      </c>
      <c r="BR54" s="52">
        <v>13</v>
      </c>
      <c r="BS54" s="31">
        <v>40330</v>
      </c>
      <c r="BT54" s="9">
        <v>8.6299999962697868E-2</v>
      </c>
      <c r="BU54" s="67" t="e">
        <f>IF(BR54&lt;'DADOS DOS EMPREENDIMENTOS'!BT$11,0,IF(BR54='DADOS DOS EMPREENDIMENTOS'!BT$11,SUM(BT$41:BT54)*(1-'DADOS DOS EMPREENDIMENTOS'!#REF!-'DADOS DOS EMPREENDIMENTOS'!#REF!)+'DADOS DOS EMPREENDIMENTOS'!#REF!,IF(BR54='DADOS DOS EMPREENDIMENTOS'!BT$12,'DADOS DOS EMPREENDIMENTOS'!#REF!,BT54*(1-'DADOS DOS EMPREENDIMENTOS'!#REF!-'DADOS DOS EMPREENDIMENTOS'!#REF!))))</f>
        <v>#REF!</v>
      </c>
      <c r="BW54" s="52">
        <v>13</v>
      </c>
      <c r="BX54" s="31">
        <v>40330</v>
      </c>
      <c r="BY54" s="9">
        <v>8.6299999962697868E-2</v>
      </c>
      <c r="BZ54" s="67" t="e">
        <f>IF(BW54&lt;'DADOS DOS EMPREENDIMENTOS'!BY$11,0,IF(BW54='DADOS DOS EMPREENDIMENTOS'!BY$11,SUM(BY$41:BY54)*(1-'DADOS DOS EMPREENDIMENTOS'!#REF!-'DADOS DOS EMPREENDIMENTOS'!#REF!)+'DADOS DOS EMPREENDIMENTOS'!#REF!,IF(BW54='DADOS DOS EMPREENDIMENTOS'!BY$12,'DADOS DOS EMPREENDIMENTOS'!#REF!,BY54*(1-'DADOS DOS EMPREENDIMENTOS'!#REF!-'DADOS DOS EMPREENDIMENTOS'!#REF!))))</f>
        <v>#REF!</v>
      </c>
      <c r="CB54" s="52">
        <v>13</v>
      </c>
      <c r="CC54" s="31">
        <v>40330</v>
      </c>
      <c r="CD54" s="9">
        <v>8.6299999962697868E-2</v>
      </c>
      <c r="CE54" s="67" t="e">
        <f>IF(CB54&lt;'DADOS DOS EMPREENDIMENTOS'!CD$11,0,IF(CB54='DADOS DOS EMPREENDIMENTOS'!CD$11,SUM(CD$41:CD54)*(1-'DADOS DOS EMPREENDIMENTOS'!#REF!-'DADOS DOS EMPREENDIMENTOS'!#REF!)+'DADOS DOS EMPREENDIMENTOS'!#REF!,IF(CB54='DADOS DOS EMPREENDIMENTOS'!CD$12,'DADOS DOS EMPREENDIMENTOS'!#REF!,CD54*(1-'DADOS DOS EMPREENDIMENTOS'!#REF!-'DADOS DOS EMPREENDIMENTOS'!#REF!))))</f>
        <v>#REF!</v>
      </c>
      <c r="CG54" s="52"/>
      <c r="CH54" s="31"/>
      <c r="CI54" s="9"/>
      <c r="CJ54" s="67"/>
    </row>
    <row r="55" spans="15:88" ht="12.75" customHeight="1" thickBot="1" x14ac:dyDescent="0.25">
      <c r="O55" s="45">
        <v>40</v>
      </c>
      <c r="P55" s="640" t="s">
        <v>355</v>
      </c>
      <c r="Q55" s="677">
        <f>VLOOKUP(P55,Apoio!C:E,2,0)</f>
        <v>245940</v>
      </c>
      <c r="R55" s="641" t="s">
        <v>316</v>
      </c>
      <c r="S55" s="378">
        <v>5</v>
      </c>
      <c r="T55" s="52">
        <v>14</v>
      </c>
      <c r="U55" s="31"/>
      <c r="V55" s="9"/>
      <c r="W55" s="67"/>
      <c r="Y55" s="52">
        <v>14</v>
      </c>
      <c r="Z55" s="31"/>
      <c r="AA55" s="9"/>
      <c r="AB55" s="67"/>
      <c r="AD55" s="52">
        <v>14</v>
      </c>
      <c r="AE55" s="31">
        <v>40360</v>
      </c>
      <c r="AF55" s="9">
        <v>9.7599999710741514E-2</v>
      </c>
      <c r="AG55" s="67" t="e">
        <f>IF(AD55&lt;'DADOS DOS EMPREENDIMENTOS'!AF$11,0,IF(AD55='DADOS DOS EMPREENDIMENTOS'!AF$11,SUM(AF$41:AF55)*(1-'DADOS DOS EMPREENDIMENTOS'!#REF!-'DADOS DOS EMPREENDIMENTOS'!#REF!)+'DADOS DOS EMPREENDIMENTOS'!#REF!,IF(AD55='DADOS DOS EMPREENDIMENTOS'!#REF!,'DADOS DOS EMPREENDIMENTOS'!#REF!,AF55*(1-'DADOS DOS EMPREENDIMENTOS'!#REF!-'DADOS DOS EMPREENDIMENTOS'!#REF!))))</f>
        <v>#REF!</v>
      </c>
      <c r="AI55" s="52">
        <v>14</v>
      </c>
      <c r="AJ55" s="31">
        <v>40360</v>
      </c>
      <c r="AK55" s="9">
        <v>9.7599999710741514E-2</v>
      </c>
      <c r="AL55" s="67" t="e">
        <f>IF(AI55&lt;'DADOS DOS EMPREENDIMENTOS'!AK$11,0,IF(AI55='DADOS DOS EMPREENDIMENTOS'!AK$11,SUM(AK$41:AK55)*(1-'DADOS DOS EMPREENDIMENTOS'!#REF!-'DADOS DOS EMPREENDIMENTOS'!#REF!)+'DADOS DOS EMPREENDIMENTOS'!#REF!,IF(AI55='DADOS DOS EMPREENDIMENTOS'!#REF!,'DADOS DOS EMPREENDIMENTOS'!#REF!,AK55*(1-'DADOS DOS EMPREENDIMENTOS'!#REF!-'DADOS DOS EMPREENDIMENTOS'!#REF!))))</f>
        <v>#REF!</v>
      </c>
      <c r="AN55" s="52">
        <v>14</v>
      </c>
      <c r="AO55" s="31">
        <v>40360</v>
      </c>
      <c r="AP55" s="9">
        <v>9.7599999710741514E-2</v>
      </c>
      <c r="AQ55" s="67" t="e">
        <f>IF(AN55&lt;'DADOS DOS EMPREENDIMENTOS'!AP$11,0,IF(AN55='DADOS DOS EMPREENDIMENTOS'!AP$11,SUM(AP$41:AP55)*(1-'DADOS DOS EMPREENDIMENTOS'!#REF!-'DADOS DOS EMPREENDIMENTOS'!#REF!)+'DADOS DOS EMPREENDIMENTOS'!#REF!,IF(AN55='DADOS DOS EMPREENDIMENTOS'!#REF!,'DADOS DOS EMPREENDIMENTOS'!#REF!,AP55*(1-'DADOS DOS EMPREENDIMENTOS'!#REF!-'DADOS DOS EMPREENDIMENTOS'!#REF!))))</f>
        <v>#REF!</v>
      </c>
      <c r="AS55" s="52">
        <v>14</v>
      </c>
      <c r="AT55" s="31">
        <v>40360</v>
      </c>
      <c r="AU55" s="9">
        <v>9.7599999710741514E-2</v>
      </c>
      <c r="AV55" s="67" t="e">
        <f>IF(AS55&lt;'DADOS DOS EMPREENDIMENTOS'!AU$11,0,IF(AS55='DADOS DOS EMPREENDIMENTOS'!AU$11,SUM(AU$41:AU55)*(1-'DADOS DOS EMPREENDIMENTOS'!#REF!-'DADOS DOS EMPREENDIMENTOS'!#REF!)+'DADOS DOS EMPREENDIMENTOS'!#REF!,IF(AS55='DADOS DOS EMPREENDIMENTOS'!#REF!,'DADOS DOS EMPREENDIMENTOS'!#REF!,AU55*(1-'DADOS DOS EMPREENDIMENTOS'!#REF!-'DADOS DOS EMPREENDIMENTOS'!#REF!))))</f>
        <v>#REF!</v>
      </c>
      <c r="AX55" s="52">
        <v>14</v>
      </c>
      <c r="AY55" s="31">
        <v>40360</v>
      </c>
      <c r="AZ55" s="9">
        <v>9.7599999710741514E-2</v>
      </c>
      <c r="BA55" s="67" t="e">
        <f>IF(AX55&lt;'DADOS DOS EMPREENDIMENTOS'!AZ$11,0,IF(AX55='DADOS DOS EMPREENDIMENTOS'!AZ$11,SUM(AZ$41:AZ55)*(1-'DADOS DOS EMPREENDIMENTOS'!#REF!-'DADOS DOS EMPREENDIMENTOS'!#REF!)+'DADOS DOS EMPREENDIMENTOS'!#REF!,IF(AX55='DADOS DOS EMPREENDIMENTOS'!#REF!,'DADOS DOS EMPREENDIMENTOS'!#REF!,AZ55*(1-'DADOS DOS EMPREENDIMENTOS'!#REF!-'DADOS DOS EMPREENDIMENTOS'!#REF!))))</f>
        <v>#REF!</v>
      </c>
      <c r="BC55" s="52">
        <v>14</v>
      </c>
      <c r="BD55" s="31">
        <v>40360</v>
      </c>
      <c r="BE55" s="9">
        <v>9.7599999710741514E-2</v>
      </c>
      <c r="BF55" s="67" t="e">
        <f>IF(BC55&lt;'DADOS DOS EMPREENDIMENTOS'!BE$11,0,IF(BC55='DADOS DOS EMPREENDIMENTOS'!BE$11,SUM(BE$41:BE55)*(1-'DADOS DOS EMPREENDIMENTOS'!#REF!-'DADOS DOS EMPREENDIMENTOS'!#REF!)+'DADOS DOS EMPREENDIMENTOS'!#REF!,IF(BC55='DADOS DOS EMPREENDIMENTOS'!#REF!,'DADOS DOS EMPREENDIMENTOS'!#REF!,BE55*(1-'DADOS DOS EMPREENDIMENTOS'!#REF!-'DADOS DOS EMPREENDIMENTOS'!#REF!))))</f>
        <v>#REF!</v>
      </c>
      <c r="BH55" s="52">
        <v>14</v>
      </c>
      <c r="BI55" s="31">
        <v>40360</v>
      </c>
      <c r="BJ55" s="9">
        <v>9.7599999710741514E-2</v>
      </c>
      <c r="BK55" s="67" t="e">
        <f>IF(BH55&lt;'DADOS DOS EMPREENDIMENTOS'!BJ$11,0,IF(BH55='DADOS DOS EMPREENDIMENTOS'!BJ$11,SUM(BJ$41:BJ55)*(1-'DADOS DOS EMPREENDIMENTOS'!#REF!-'DADOS DOS EMPREENDIMENTOS'!#REF!)+'DADOS DOS EMPREENDIMENTOS'!#REF!,IF(BH55='DADOS DOS EMPREENDIMENTOS'!#REF!,'DADOS DOS EMPREENDIMENTOS'!#REF!,BJ55*(1-'DADOS DOS EMPREENDIMENTOS'!#REF!-'DADOS DOS EMPREENDIMENTOS'!#REF!))))</f>
        <v>#REF!</v>
      </c>
      <c r="BM55" s="52">
        <v>14</v>
      </c>
      <c r="BN55" s="31">
        <v>40360</v>
      </c>
      <c r="BO55" s="9">
        <v>9.7599999710741514E-2</v>
      </c>
      <c r="BP55" s="67" t="e">
        <f>IF(BM55&lt;'DADOS DOS EMPREENDIMENTOS'!BO$11,0,IF(BM55='DADOS DOS EMPREENDIMENTOS'!BO$11,SUM(BO$41:BO55)*(1-'DADOS DOS EMPREENDIMENTOS'!#REF!-'DADOS DOS EMPREENDIMENTOS'!#REF!)+'DADOS DOS EMPREENDIMENTOS'!#REF!,IF(BM55='DADOS DOS EMPREENDIMENTOS'!BO$12,'DADOS DOS EMPREENDIMENTOS'!#REF!,BO55*(1-'DADOS DOS EMPREENDIMENTOS'!#REF!-'DADOS DOS EMPREENDIMENTOS'!#REF!))))</f>
        <v>#REF!</v>
      </c>
      <c r="BR55" s="52">
        <v>14</v>
      </c>
      <c r="BS55" s="31">
        <v>40360</v>
      </c>
      <c r="BT55" s="9">
        <v>9.7599999710741514E-2</v>
      </c>
      <c r="BU55" s="67" t="e">
        <f>IF(BR55&lt;'DADOS DOS EMPREENDIMENTOS'!BT$11,0,IF(BR55='DADOS DOS EMPREENDIMENTOS'!BT$11,SUM(BT$41:BT55)*(1-'DADOS DOS EMPREENDIMENTOS'!#REF!-'DADOS DOS EMPREENDIMENTOS'!#REF!)+'DADOS DOS EMPREENDIMENTOS'!#REF!,IF(BR55='DADOS DOS EMPREENDIMENTOS'!BT$12,'DADOS DOS EMPREENDIMENTOS'!#REF!,BT55*(1-'DADOS DOS EMPREENDIMENTOS'!#REF!-'DADOS DOS EMPREENDIMENTOS'!#REF!))))</f>
        <v>#REF!</v>
      </c>
      <c r="BW55" s="52">
        <v>14</v>
      </c>
      <c r="BX55" s="31">
        <v>40360</v>
      </c>
      <c r="BY55" s="9">
        <v>9.7599999710741514E-2</v>
      </c>
      <c r="BZ55" s="67" t="e">
        <f>IF(BW55&lt;'DADOS DOS EMPREENDIMENTOS'!BY$11,0,IF(BW55='DADOS DOS EMPREENDIMENTOS'!BY$11,SUM(BY$41:BY55)*(1-'DADOS DOS EMPREENDIMENTOS'!#REF!-'DADOS DOS EMPREENDIMENTOS'!#REF!)+'DADOS DOS EMPREENDIMENTOS'!#REF!,IF(BW55='DADOS DOS EMPREENDIMENTOS'!BY$12,'DADOS DOS EMPREENDIMENTOS'!#REF!,BY55*(1-'DADOS DOS EMPREENDIMENTOS'!#REF!-'DADOS DOS EMPREENDIMENTOS'!#REF!))))</f>
        <v>#REF!</v>
      </c>
      <c r="CB55" s="52">
        <v>14</v>
      </c>
      <c r="CC55" s="31">
        <v>40360</v>
      </c>
      <c r="CD55" s="9">
        <v>9.7599999710741514E-2</v>
      </c>
      <c r="CE55" s="67" t="e">
        <f>IF(CB55&lt;'DADOS DOS EMPREENDIMENTOS'!CD$11,0,IF(CB55='DADOS DOS EMPREENDIMENTOS'!CD$11,SUM(CD$41:CD55)*(1-'DADOS DOS EMPREENDIMENTOS'!#REF!-'DADOS DOS EMPREENDIMENTOS'!#REF!)+'DADOS DOS EMPREENDIMENTOS'!#REF!,IF(CB55='DADOS DOS EMPREENDIMENTOS'!CD$12,'DADOS DOS EMPREENDIMENTOS'!#REF!,CD55*(1-'DADOS DOS EMPREENDIMENTOS'!#REF!-'DADOS DOS EMPREENDIMENTOS'!#REF!))))</f>
        <v>#REF!</v>
      </c>
      <c r="CG55" s="52"/>
      <c r="CH55" s="31"/>
      <c r="CI55" s="9"/>
      <c r="CJ55" s="67"/>
    </row>
    <row r="56" spans="15:88" ht="12.75" customHeight="1" thickBot="1" x14ac:dyDescent="0.25">
      <c r="O56" s="43">
        <v>41</v>
      </c>
      <c r="P56" s="640" t="s">
        <v>356</v>
      </c>
      <c r="Q56" s="677">
        <f>VLOOKUP(P56,Apoio!C:E,2,0)</f>
        <v>245940</v>
      </c>
      <c r="R56" s="641" t="s">
        <v>316</v>
      </c>
      <c r="S56" s="378">
        <v>5</v>
      </c>
      <c r="T56" s="52">
        <v>15</v>
      </c>
      <c r="U56" s="31"/>
      <c r="V56" s="9"/>
      <c r="W56" s="67"/>
      <c r="Y56" s="52">
        <v>15</v>
      </c>
      <c r="Z56" s="31"/>
      <c r="AA56" s="9"/>
      <c r="AB56" s="67"/>
      <c r="AD56" s="52">
        <v>15</v>
      </c>
      <c r="AE56" s="31">
        <v>40391</v>
      </c>
      <c r="AF56" s="9">
        <v>0.11039999975882406</v>
      </c>
      <c r="AG56" s="67" t="e">
        <f>IF(AD56&lt;'DADOS DOS EMPREENDIMENTOS'!AF$11,0,IF(AD56='DADOS DOS EMPREENDIMENTOS'!AF$11,SUM(AF$41:AF56)*(1-'DADOS DOS EMPREENDIMENTOS'!#REF!-'DADOS DOS EMPREENDIMENTOS'!#REF!)+'DADOS DOS EMPREENDIMENTOS'!#REF!,IF(AD56='DADOS DOS EMPREENDIMENTOS'!#REF!,'DADOS DOS EMPREENDIMENTOS'!#REF!,AF56*(1-'DADOS DOS EMPREENDIMENTOS'!#REF!-'DADOS DOS EMPREENDIMENTOS'!#REF!))))</f>
        <v>#REF!</v>
      </c>
      <c r="AI56" s="52">
        <v>15</v>
      </c>
      <c r="AJ56" s="31">
        <v>40391</v>
      </c>
      <c r="AK56" s="9">
        <v>0.11039999975882406</v>
      </c>
      <c r="AL56" s="67" t="e">
        <f>IF(AI56&lt;'DADOS DOS EMPREENDIMENTOS'!AK$11,0,IF(AI56='DADOS DOS EMPREENDIMENTOS'!AK$11,SUM(AK$41:AK56)*(1-'DADOS DOS EMPREENDIMENTOS'!#REF!-'DADOS DOS EMPREENDIMENTOS'!#REF!)+'DADOS DOS EMPREENDIMENTOS'!#REF!,IF(AI56='DADOS DOS EMPREENDIMENTOS'!#REF!,'DADOS DOS EMPREENDIMENTOS'!#REF!,AK56*(1-'DADOS DOS EMPREENDIMENTOS'!#REF!-'DADOS DOS EMPREENDIMENTOS'!#REF!))))</f>
        <v>#REF!</v>
      </c>
      <c r="AN56" s="52">
        <v>15</v>
      </c>
      <c r="AO56" s="31">
        <v>40391</v>
      </c>
      <c r="AP56" s="9">
        <v>0.11039999975882406</v>
      </c>
      <c r="AQ56" s="67" t="e">
        <f>IF(AN56&lt;'DADOS DOS EMPREENDIMENTOS'!AP$11,0,IF(AN56='DADOS DOS EMPREENDIMENTOS'!AP$11,SUM(AP$41:AP56)*(1-'DADOS DOS EMPREENDIMENTOS'!#REF!-'DADOS DOS EMPREENDIMENTOS'!#REF!)+'DADOS DOS EMPREENDIMENTOS'!#REF!,IF(AN56='DADOS DOS EMPREENDIMENTOS'!#REF!,'DADOS DOS EMPREENDIMENTOS'!#REF!,AP56*(1-'DADOS DOS EMPREENDIMENTOS'!#REF!-'DADOS DOS EMPREENDIMENTOS'!#REF!))))</f>
        <v>#REF!</v>
      </c>
      <c r="AS56" s="52">
        <v>15</v>
      </c>
      <c r="AT56" s="31">
        <v>40391</v>
      </c>
      <c r="AU56" s="9">
        <v>0.11039999975882406</v>
      </c>
      <c r="AV56" s="67" t="e">
        <f>IF(AS56&lt;'DADOS DOS EMPREENDIMENTOS'!AU$11,0,IF(AS56='DADOS DOS EMPREENDIMENTOS'!AU$11,SUM(AU$41:AU56)*(1-'DADOS DOS EMPREENDIMENTOS'!#REF!-'DADOS DOS EMPREENDIMENTOS'!#REF!)+'DADOS DOS EMPREENDIMENTOS'!#REF!,IF(AS56='DADOS DOS EMPREENDIMENTOS'!#REF!,'DADOS DOS EMPREENDIMENTOS'!#REF!,AU56*(1-'DADOS DOS EMPREENDIMENTOS'!#REF!-'DADOS DOS EMPREENDIMENTOS'!#REF!))))</f>
        <v>#REF!</v>
      </c>
      <c r="AX56" s="52">
        <v>15</v>
      </c>
      <c r="AY56" s="31">
        <v>40391</v>
      </c>
      <c r="AZ56" s="9">
        <v>0.11039999975882406</v>
      </c>
      <c r="BA56" s="67" t="e">
        <f>IF(AX56&lt;'DADOS DOS EMPREENDIMENTOS'!AZ$11,0,IF(AX56='DADOS DOS EMPREENDIMENTOS'!AZ$11,SUM(AZ$41:AZ56)*(1-'DADOS DOS EMPREENDIMENTOS'!#REF!-'DADOS DOS EMPREENDIMENTOS'!#REF!)+'DADOS DOS EMPREENDIMENTOS'!#REF!,IF(AX56='DADOS DOS EMPREENDIMENTOS'!#REF!,'DADOS DOS EMPREENDIMENTOS'!#REF!,AZ56*(1-'DADOS DOS EMPREENDIMENTOS'!#REF!-'DADOS DOS EMPREENDIMENTOS'!#REF!))))</f>
        <v>#REF!</v>
      </c>
      <c r="BC56" s="52">
        <v>15</v>
      </c>
      <c r="BD56" s="31">
        <v>40391</v>
      </c>
      <c r="BE56" s="9">
        <v>0.11039999975882406</v>
      </c>
      <c r="BF56" s="67" t="e">
        <f>IF(BC56&lt;'DADOS DOS EMPREENDIMENTOS'!BE$11,0,IF(BC56='DADOS DOS EMPREENDIMENTOS'!BE$11,SUM(BE$41:BE56)*(1-'DADOS DOS EMPREENDIMENTOS'!#REF!-'DADOS DOS EMPREENDIMENTOS'!#REF!)+'DADOS DOS EMPREENDIMENTOS'!#REF!,IF(BC56='DADOS DOS EMPREENDIMENTOS'!#REF!,'DADOS DOS EMPREENDIMENTOS'!#REF!,BE56*(1-'DADOS DOS EMPREENDIMENTOS'!#REF!-'DADOS DOS EMPREENDIMENTOS'!#REF!))))</f>
        <v>#REF!</v>
      </c>
      <c r="BH56" s="52">
        <v>15</v>
      </c>
      <c r="BI56" s="31">
        <v>40391</v>
      </c>
      <c r="BJ56" s="9">
        <v>0.11039999975882406</v>
      </c>
      <c r="BK56" s="67" t="e">
        <f>IF(BH56&lt;'DADOS DOS EMPREENDIMENTOS'!BJ$11,0,IF(BH56='DADOS DOS EMPREENDIMENTOS'!BJ$11,SUM(BJ$41:BJ56)*(1-'DADOS DOS EMPREENDIMENTOS'!#REF!-'DADOS DOS EMPREENDIMENTOS'!#REF!)+'DADOS DOS EMPREENDIMENTOS'!#REF!,IF(BH56='DADOS DOS EMPREENDIMENTOS'!#REF!,'DADOS DOS EMPREENDIMENTOS'!#REF!,BJ56*(1-'DADOS DOS EMPREENDIMENTOS'!#REF!-'DADOS DOS EMPREENDIMENTOS'!#REF!))))</f>
        <v>#REF!</v>
      </c>
      <c r="BM56" s="52">
        <v>15</v>
      </c>
      <c r="BN56" s="31">
        <v>40391</v>
      </c>
      <c r="BO56" s="9">
        <v>0.11039999975882406</v>
      </c>
      <c r="BP56" s="67" t="e">
        <f>IF(BM56&lt;'DADOS DOS EMPREENDIMENTOS'!BO$11,0,IF(BM56='DADOS DOS EMPREENDIMENTOS'!BO$11,SUM(BO$41:BO56)*(1-'DADOS DOS EMPREENDIMENTOS'!#REF!-'DADOS DOS EMPREENDIMENTOS'!#REF!)+'DADOS DOS EMPREENDIMENTOS'!#REF!,IF(BM56='DADOS DOS EMPREENDIMENTOS'!BO$12,'DADOS DOS EMPREENDIMENTOS'!#REF!,BO56*(1-'DADOS DOS EMPREENDIMENTOS'!#REF!-'DADOS DOS EMPREENDIMENTOS'!#REF!))))</f>
        <v>#REF!</v>
      </c>
      <c r="BR56" s="52">
        <v>15</v>
      </c>
      <c r="BS56" s="31">
        <v>40391</v>
      </c>
      <c r="BT56" s="9">
        <v>0.11039999975882406</v>
      </c>
      <c r="BU56" s="67" t="e">
        <f>IF(BR56&lt;'DADOS DOS EMPREENDIMENTOS'!BT$11,0,IF(BR56='DADOS DOS EMPREENDIMENTOS'!BT$11,SUM(BT$41:BT56)*(1-'DADOS DOS EMPREENDIMENTOS'!#REF!-'DADOS DOS EMPREENDIMENTOS'!#REF!)+'DADOS DOS EMPREENDIMENTOS'!#REF!,IF(BR56='DADOS DOS EMPREENDIMENTOS'!BT$12,'DADOS DOS EMPREENDIMENTOS'!#REF!,BT56*(1-'DADOS DOS EMPREENDIMENTOS'!#REF!-'DADOS DOS EMPREENDIMENTOS'!#REF!))))</f>
        <v>#REF!</v>
      </c>
      <c r="BW56" s="52">
        <v>15</v>
      </c>
      <c r="BX56" s="31">
        <v>40391</v>
      </c>
      <c r="BY56" s="9">
        <v>0.11039999975882406</v>
      </c>
      <c r="BZ56" s="67" t="e">
        <f>IF(BW56&lt;'DADOS DOS EMPREENDIMENTOS'!BY$11,0,IF(BW56='DADOS DOS EMPREENDIMENTOS'!BY$11,SUM(BY$41:BY56)*(1-'DADOS DOS EMPREENDIMENTOS'!#REF!-'DADOS DOS EMPREENDIMENTOS'!#REF!)+'DADOS DOS EMPREENDIMENTOS'!#REF!,IF(BW56='DADOS DOS EMPREENDIMENTOS'!BY$12,'DADOS DOS EMPREENDIMENTOS'!#REF!,BY56*(1-'DADOS DOS EMPREENDIMENTOS'!#REF!-'DADOS DOS EMPREENDIMENTOS'!#REF!))))</f>
        <v>#REF!</v>
      </c>
      <c r="CB56" s="52">
        <v>15</v>
      </c>
      <c r="CC56" s="31">
        <v>40391</v>
      </c>
      <c r="CD56" s="9">
        <v>0.11039999975882406</v>
      </c>
      <c r="CE56" s="67" t="e">
        <f>IF(CB56&lt;'DADOS DOS EMPREENDIMENTOS'!CD$11,0,IF(CB56='DADOS DOS EMPREENDIMENTOS'!CD$11,SUM(CD$41:CD56)*(1-'DADOS DOS EMPREENDIMENTOS'!#REF!-'DADOS DOS EMPREENDIMENTOS'!#REF!)+'DADOS DOS EMPREENDIMENTOS'!#REF!,IF(CB56='DADOS DOS EMPREENDIMENTOS'!CD$12,'DADOS DOS EMPREENDIMENTOS'!#REF!,CD56*(1-'DADOS DOS EMPREENDIMENTOS'!#REF!-'DADOS DOS EMPREENDIMENTOS'!#REF!))))</f>
        <v>#REF!</v>
      </c>
      <c r="CG56" s="52"/>
      <c r="CH56" s="31"/>
      <c r="CI56" s="9"/>
      <c r="CJ56" s="67"/>
    </row>
    <row r="57" spans="15:88" ht="12.75" customHeight="1" thickBot="1" x14ac:dyDescent="0.25">
      <c r="O57" s="45">
        <v>42</v>
      </c>
      <c r="P57" s="640" t="s">
        <v>357</v>
      </c>
      <c r="Q57" s="677">
        <f>VLOOKUP(P57,Apoio!C:E,2,0)</f>
        <v>246040</v>
      </c>
      <c r="R57" s="641" t="s">
        <v>316</v>
      </c>
      <c r="S57" s="378">
        <v>5</v>
      </c>
      <c r="T57" s="52">
        <v>16</v>
      </c>
      <c r="U57" s="31"/>
      <c r="V57" s="9"/>
      <c r="W57" s="67"/>
      <c r="Y57" s="52">
        <v>16</v>
      </c>
      <c r="Z57" s="31"/>
      <c r="AA57" s="9"/>
      <c r="AB57" s="67"/>
      <c r="AD57" s="52">
        <v>16</v>
      </c>
      <c r="AE57" s="31">
        <v>40422</v>
      </c>
      <c r="AF57" s="9">
        <v>0.12510000012335462</v>
      </c>
      <c r="AG57" s="67" t="e">
        <f>IF(AD57&lt;'DADOS DOS EMPREENDIMENTOS'!AF$11,0,IF(AD57='DADOS DOS EMPREENDIMENTOS'!AF$11,SUM(AF$41:AF57)*(1-'DADOS DOS EMPREENDIMENTOS'!#REF!-'DADOS DOS EMPREENDIMENTOS'!#REF!)+'DADOS DOS EMPREENDIMENTOS'!#REF!,IF(AD57='DADOS DOS EMPREENDIMENTOS'!#REF!,'DADOS DOS EMPREENDIMENTOS'!#REF!,AF57*(1-'DADOS DOS EMPREENDIMENTOS'!#REF!-'DADOS DOS EMPREENDIMENTOS'!#REF!))))</f>
        <v>#REF!</v>
      </c>
      <c r="AI57" s="52">
        <v>16</v>
      </c>
      <c r="AJ57" s="31">
        <v>40422</v>
      </c>
      <c r="AK57" s="9">
        <v>0.12510000012335462</v>
      </c>
      <c r="AL57" s="67" t="e">
        <f>IF(AI57&lt;'DADOS DOS EMPREENDIMENTOS'!AK$11,0,IF(AI57='DADOS DOS EMPREENDIMENTOS'!AK$11,SUM(AK$41:AK57)*(1-'DADOS DOS EMPREENDIMENTOS'!#REF!-'DADOS DOS EMPREENDIMENTOS'!#REF!)+'DADOS DOS EMPREENDIMENTOS'!#REF!,IF(AI57='DADOS DOS EMPREENDIMENTOS'!#REF!,'DADOS DOS EMPREENDIMENTOS'!#REF!,AK57*(1-'DADOS DOS EMPREENDIMENTOS'!#REF!-'DADOS DOS EMPREENDIMENTOS'!#REF!))))</f>
        <v>#REF!</v>
      </c>
      <c r="AN57" s="52">
        <v>16</v>
      </c>
      <c r="AO57" s="31">
        <v>40422</v>
      </c>
      <c r="AP57" s="9">
        <v>0.12510000012335462</v>
      </c>
      <c r="AQ57" s="67" t="e">
        <f>IF(AN57&lt;'DADOS DOS EMPREENDIMENTOS'!AP$11,0,IF(AN57='DADOS DOS EMPREENDIMENTOS'!AP$11,SUM(AP$41:AP57)*(1-'DADOS DOS EMPREENDIMENTOS'!#REF!-'DADOS DOS EMPREENDIMENTOS'!#REF!)+'DADOS DOS EMPREENDIMENTOS'!#REF!,IF(AN57='DADOS DOS EMPREENDIMENTOS'!#REF!,'DADOS DOS EMPREENDIMENTOS'!#REF!,AP57*(1-'DADOS DOS EMPREENDIMENTOS'!#REF!-'DADOS DOS EMPREENDIMENTOS'!#REF!))))</f>
        <v>#REF!</v>
      </c>
      <c r="AS57" s="52">
        <v>16</v>
      </c>
      <c r="AT57" s="31">
        <v>40422</v>
      </c>
      <c r="AU57" s="9">
        <v>0.12510000012335462</v>
      </c>
      <c r="AV57" s="67" t="e">
        <f>IF(AS57&lt;'DADOS DOS EMPREENDIMENTOS'!AU$11,0,IF(AS57='DADOS DOS EMPREENDIMENTOS'!AU$11,SUM(AU$41:AU57)*(1-'DADOS DOS EMPREENDIMENTOS'!#REF!-'DADOS DOS EMPREENDIMENTOS'!#REF!)+'DADOS DOS EMPREENDIMENTOS'!#REF!,IF(AS57='DADOS DOS EMPREENDIMENTOS'!#REF!,'DADOS DOS EMPREENDIMENTOS'!#REF!,AU57*(1-'DADOS DOS EMPREENDIMENTOS'!#REF!-'DADOS DOS EMPREENDIMENTOS'!#REF!))))</f>
        <v>#REF!</v>
      </c>
      <c r="AX57" s="52">
        <v>16</v>
      </c>
      <c r="AY57" s="31">
        <v>40422</v>
      </c>
      <c r="AZ57" s="9">
        <v>0.12510000012335462</v>
      </c>
      <c r="BA57" s="67" t="e">
        <f>IF(AX57&lt;'DADOS DOS EMPREENDIMENTOS'!AZ$11,0,IF(AX57='DADOS DOS EMPREENDIMENTOS'!AZ$11,SUM(AZ$41:AZ57)*(1-'DADOS DOS EMPREENDIMENTOS'!#REF!-'DADOS DOS EMPREENDIMENTOS'!#REF!)+'DADOS DOS EMPREENDIMENTOS'!#REF!,IF(AX57='DADOS DOS EMPREENDIMENTOS'!#REF!,'DADOS DOS EMPREENDIMENTOS'!#REF!,AZ57*(1-'DADOS DOS EMPREENDIMENTOS'!#REF!-'DADOS DOS EMPREENDIMENTOS'!#REF!))))</f>
        <v>#REF!</v>
      </c>
      <c r="BC57" s="52">
        <v>16</v>
      </c>
      <c r="BD57" s="31">
        <v>40422</v>
      </c>
      <c r="BE57" s="9">
        <v>0.12510000012335462</v>
      </c>
      <c r="BF57" s="67" t="e">
        <f>IF(BC57&lt;'DADOS DOS EMPREENDIMENTOS'!BE$11,0,IF(BC57='DADOS DOS EMPREENDIMENTOS'!BE$11,SUM(BE$41:BE57)*(1-'DADOS DOS EMPREENDIMENTOS'!#REF!-'DADOS DOS EMPREENDIMENTOS'!#REF!)+'DADOS DOS EMPREENDIMENTOS'!#REF!,IF(BC57='DADOS DOS EMPREENDIMENTOS'!#REF!,'DADOS DOS EMPREENDIMENTOS'!#REF!,BE57*(1-'DADOS DOS EMPREENDIMENTOS'!#REF!-'DADOS DOS EMPREENDIMENTOS'!#REF!))))</f>
        <v>#REF!</v>
      </c>
      <c r="BH57" s="52">
        <v>16</v>
      </c>
      <c r="BI57" s="31">
        <v>40422</v>
      </c>
      <c r="BJ57" s="9">
        <v>0.12510000012335462</v>
      </c>
      <c r="BK57" s="67" t="e">
        <f>IF(BH57&lt;'DADOS DOS EMPREENDIMENTOS'!BJ$11,0,IF(BH57='DADOS DOS EMPREENDIMENTOS'!BJ$11,SUM(BJ$41:BJ57)*(1-'DADOS DOS EMPREENDIMENTOS'!#REF!-'DADOS DOS EMPREENDIMENTOS'!#REF!)+'DADOS DOS EMPREENDIMENTOS'!#REF!,IF(BH57='DADOS DOS EMPREENDIMENTOS'!#REF!,'DADOS DOS EMPREENDIMENTOS'!#REF!,BJ57*(1-'DADOS DOS EMPREENDIMENTOS'!#REF!-'DADOS DOS EMPREENDIMENTOS'!#REF!))))</f>
        <v>#REF!</v>
      </c>
      <c r="BM57" s="52">
        <v>16</v>
      </c>
      <c r="BN57" s="31">
        <v>40422</v>
      </c>
      <c r="BO57" s="9">
        <v>0.12510000012335462</v>
      </c>
      <c r="BP57" s="67" t="e">
        <f>IF(BM57&lt;'DADOS DOS EMPREENDIMENTOS'!BO$11,0,IF(BM57='DADOS DOS EMPREENDIMENTOS'!BO$11,SUM(BO$41:BO57)*(1-'DADOS DOS EMPREENDIMENTOS'!#REF!-'DADOS DOS EMPREENDIMENTOS'!#REF!)+'DADOS DOS EMPREENDIMENTOS'!#REF!,IF(BM57='DADOS DOS EMPREENDIMENTOS'!BO$12,'DADOS DOS EMPREENDIMENTOS'!#REF!,BO57*(1-'DADOS DOS EMPREENDIMENTOS'!#REF!-'DADOS DOS EMPREENDIMENTOS'!#REF!))))</f>
        <v>#REF!</v>
      </c>
      <c r="BR57" s="52">
        <v>16</v>
      </c>
      <c r="BS57" s="31">
        <v>40422</v>
      </c>
      <c r="BT57" s="9">
        <v>0.12510000012335462</v>
      </c>
      <c r="BU57" s="67" t="e">
        <f>IF(BR57&lt;'DADOS DOS EMPREENDIMENTOS'!BT$11,0,IF(BR57='DADOS DOS EMPREENDIMENTOS'!BT$11,SUM(BT$41:BT57)*(1-'DADOS DOS EMPREENDIMENTOS'!#REF!-'DADOS DOS EMPREENDIMENTOS'!#REF!)+'DADOS DOS EMPREENDIMENTOS'!#REF!,IF(BR57='DADOS DOS EMPREENDIMENTOS'!BT$12,'DADOS DOS EMPREENDIMENTOS'!#REF!,BT57*(1-'DADOS DOS EMPREENDIMENTOS'!#REF!-'DADOS DOS EMPREENDIMENTOS'!#REF!))))</f>
        <v>#REF!</v>
      </c>
      <c r="BW57" s="52">
        <v>16</v>
      </c>
      <c r="BX57" s="31">
        <v>40422</v>
      </c>
      <c r="BY57" s="9">
        <v>0.12510000012335462</v>
      </c>
      <c r="BZ57" s="67" t="e">
        <f>IF(BW57&lt;'DADOS DOS EMPREENDIMENTOS'!BY$11,0,IF(BW57='DADOS DOS EMPREENDIMENTOS'!BY$11,SUM(BY$41:BY57)*(1-'DADOS DOS EMPREENDIMENTOS'!#REF!-'DADOS DOS EMPREENDIMENTOS'!#REF!)+'DADOS DOS EMPREENDIMENTOS'!#REF!,IF(BW57='DADOS DOS EMPREENDIMENTOS'!BY$12,'DADOS DOS EMPREENDIMENTOS'!#REF!,BY57*(1-'DADOS DOS EMPREENDIMENTOS'!#REF!-'DADOS DOS EMPREENDIMENTOS'!#REF!))))</f>
        <v>#REF!</v>
      </c>
      <c r="CB57" s="52">
        <v>16</v>
      </c>
      <c r="CC57" s="31">
        <v>40422</v>
      </c>
      <c r="CD57" s="9">
        <v>0.12510000012335462</v>
      </c>
      <c r="CE57" s="67" t="e">
        <f>IF(CB57&lt;'DADOS DOS EMPREENDIMENTOS'!CD$11,0,IF(CB57='DADOS DOS EMPREENDIMENTOS'!CD$11,SUM(CD$41:CD57)*(1-'DADOS DOS EMPREENDIMENTOS'!#REF!-'DADOS DOS EMPREENDIMENTOS'!#REF!)+'DADOS DOS EMPREENDIMENTOS'!#REF!,IF(CB57='DADOS DOS EMPREENDIMENTOS'!CD$12,'DADOS DOS EMPREENDIMENTOS'!#REF!,CD57*(1-'DADOS DOS EMPREENDIMENTOS'!#REF!-'DADOS DOS EMPREENDIMENTOS'!#REF!))))</f>
        <v>#REF!</v>
      </c>
      <c r="CG57" s="52"/>
      <c r="CH57" s="31"/>
      <c r="CI57" s="9"/>
      <c r="CJ57" s="67"/>
    </row>
    <row r="58" spans="15:88" ht="12.75" customHeight="1" thickBot="1" x14ac:dyDescent="0.25">
      <c r="O58" s="43">
        <v>43</v>
      </c>
      <c r="P58" s="640" t="s">
        <v>358</v>
      </c>
      <c r="Q58" s="677">
        <f>VLOOKUP(P58,Apoio!C:E,2,0)</f>
        <v>246040</v>
      </c>
      <c r="R58" s="641" t="s">
        <v>316</v>
      </c>
      <c r="S58" s="378">
        <v>5</v>
      </c>
      <c r="T58" s="52">
        <v>17</v>
      </c>
      <c r="U58" s="31"/>
      <c r="V58" s="9"/>
      <c r="W58" s="67"/>
      <c r="Y58" s="52">
        <v>17</v>
      </c>
      <c r="Z58" s="31"/>
      <c r="AA58" s="9"/>
      <c r="AB58" s="67"/>
      <c r="AD58" s="52">
        <v>17</v>
      </c>
      <c r="AE58" s="31">
        <v>40452</v>
      </c>
      <c r="AF58" s="9">
        <v>0.12929999981864104</v>
      </c>
      <c r="AG58" s="67" t="e">
        <f>IF(AD58&lt;'DADOS DOS EMPREENDIMENTOS'!AF$11,0,IF(AD58='DADOS DOS EMPREENDIMENTOS'!AF$11,SUM(AF$41:AF58)*(1-'DADOS DOS EMPREENDIMENTOS'!#REF!-'DADOS DOS EMPREENDIMENTOS'!#REF!)+'DADOS DOS EMPREENDIMENTOS'!#REF!,IF(AD58='DADOS DOS EMPREENDIMENTOS'!#REF!,'DADOS DOS EMPREENDIMENTOS'!#REF!,AF58*(1-'DADOS DOS EMPREENDIMENTOS'!#REF!-'DADOS DOS EMPREENDIMENTOS'!#REF!))))</f>
        <v>#REF!</v>
      </c>
      <c r="AI58" s="52">
        <v>17</v>
      </c>
      <c r="AJ58" s="31">
        <v>40452</v>
      </c>
      <c r="AK58" s="9">
        <v>0.12929999981864104</v>
      </c>
      <c r="AL58" s="67" t="e">
        <f>IF(AI58&lt;'DADOS DOS EMPREENDIMENTOS'!AK$11,0,IF(AI58='DADOS DOS EMPREENDIMENTOS'!AK$11,SUM(AK$41:AK58)*(1-'DADOS DOS EMPREENDIMENTOS'!#REF!-'DADOS DOS EMPREENDIMENTOS'!#REF!)+'DADOS DOS EMPREENDIMENTOS'!#REF!,IF(AI58='DADOS DOS EMPREENDIMENTOS'!#REF!,'DADOS DOS EMPREENDIMENTOS'!#REF!,AK58*(1-'DADOS DOS EMPREENDIMENTOS'!#REF!-'DADOS DOS EMPREENDIMENTOS'!#REF!))))</f>
        <v>#REF!</v>
      </c>
      <c r="AN58" s="52">
        <v>17</v>
      </c>
      <c r="AO58" s="31">
        <v>40452</v>
      </c>
      <c r="AP58" s="9">
        <v>0.12929999981864104</v>
      </c>
      <c r="AQ58" s="67" t="e">
        <f>IF(AN58&lt;'DADOS DOS EMPREENDIMENTOS'!AP$11,0,IF(AN58='DADOS DOS EMPREENDIMENTOS'!AP$11,SUM(AP$41:AP58)*(1-'DADOS DOS EMPREENDIMENTOS'!#REF!-'DADOS DOS EMPREENDIMENTOS'!#REF!)+'DADOS DOS EMPREENDIMENTOS'!#REF!,IF(AN58='DADOS DOS EMPREENDIMENTOS'!#REF!,'DADOS DOS EMPREENDIMENTOS'!#REF!,AP58*(1-'DADOS DOS EMPREENDIMENTOS'!#REF!-'DADOS DOS EMPREENDIMENTOS'!#REF!))))</f>
        <v>#REF!</v>
      </c>
      <c r="AS58" s="52">
        <v>17</v>
      </c>
      <c r="AT58" s="31">
        <v>40452</v>
      </c>
      <c r="AU58" s="9">
        <v>0.12929999981864104</v>
      </c>
      <c r="AV58" s="67" t="e">
        <f>IF(AS58&lt;'DADOS DOS EMPREENDIMENTOS'!AU$11,0,IF(AS58='DADOS DOS EMPREENDIMENTOS'!AU$11,SUM(AU$41:AU58)*(1-'DADOS DOS EMPREENDIMENTOS'!#REF!-'DADOS DOS EMPREENDIMENTOS'!#REF!)+'DADOS DOS EMPREENDIMENTOS'!#REF!,IF(AS58='DADOS DOS EMPREENDIMENTOS'!#REF!,'DADOS DOS EMPREENDIMENTOS'!#REF!,AU58*(1-'DADOS DOS EMPREENDIMENTOS'!#REF!-'DADOS DOS EMPREENDIMENTOS'!#REF!))))</f>
        <v>#REF!</v>
      </c>
      <c r="AX58" s="52">
        <v>17</v>
      </c>
      <c r="AY58" s="31">
        <v>40452</v>
      </c>
      <c r="AZ58" s="9">
        <v>0.12929999981864104</v>
      </c>
      <c r="BA58" s="67" t="e">
        <f>IF(AX58&lt;'DADOS DOS EMPREENDIMENTOS'!AZ$11,0,IF(AX58='DADOS DOS EMPREENDIMENTOS'!AZ$11,SUM(AZ$41:AZ58)*(1-'DADOS DOS EMPREENDIMENTOS'!#REF!-'DADOS DOS EMPREENDIMENTOS'!#REF!)+'DADOS DOS EMPREENDIMENTOS'!#REF!,IF(AX58='DADOS DOS EMPREENDIMENTOS'!#REF!,'DADOS DOS EMPREENDIMENTOS'!#REF!,AZ58*(1-'DADOS DOS EMPREENDIMENTOS'!#REF!-'DADOS DOS EMPREENDIMENTOS'!#REF!))))</f>
        <v>#REF!</v>
      </c>
      <c r="BC58" s="52">
        <v>17</v>
      </c>
      <c r="BD58" s="31">
        <v>40452</v>
      </c>
      <c r="BE58" s="9">
        <v>0.12929999981864104</v>
      </c>
      <c r="BF58" s="67" t="e">
        <f>IF(BC58&lt;'DADOS DOS EMPREENDIMENTOS'!BE$11,0,IF(BC58='DADOS DOS EMPREENDIMENTOS'!BE$11,SUM(BE$41:BE58)*(1-'DADOS DOS EMPREENDIMENTOS'!#REF!-'DADOS DOS EMPREENDIMENTOS'!#REF!)+'DADOS DOS EMPREENDIMENTOS'!#REF!,IF(BC58='DADOS DOS EMPREENDIMENTOS'!#REF!,'DADOS DOS EMPREENDIMENTOS'!#REF!,BE58*(1-'DADOS DOS EMPREENDIMENTOS'!#REF!-'DADOS DOS EMPREENDIMENTOS'!#REF!))))</f>
        <v>#REF!</v>
      </c>
      <c r="BH58" s="52">
        <v>17</v>
      </c>
      <c r="BI58" s="31">
        <v>40452</v>
      </c>
      <c r="BJ58" s="9">
        <v>0.12929999981864104</v>
      </c>
      <c r="BK58" s="67" t="e">
        <f>IF(BH58&lt;'DADOS DOS EMPREENDIMENTOS'!BJ$11,0,IF(BH58='DADOS DOS EMPREENDIMENTOS'!BJ$11,SUM(BJ$41:BJ58)*(1-'DADOS DOS EMPREENDIMENTOS'!#REF!-'DADOS DOS EMPREENDIMENTOS'!#REF!)+'DADOS DOS EMPREENDIMENTOS'!#REF!,IF(BH58='DADOS DOS EMPREENDIMENTOS'!#REF!,'DADOS DOS EMPREENDIMENTOS'!#REF!,BJ58*(1-'DADOS DOS EMPREENDIMENTOS'!#REF!-'DADOS DOS EMPREENDIMENTOS'!#REF!))))</f>
        <v>#REF!</v>
      </c>
      <c r="BM58" s="52">
        <v>17</v>
      </c>
      <c r="BN58" s="31">
        <v>40452</v>
      </c>
      <c r="BO58" s="9">
        <v>0.12929999981864104</v>
      </c>
      <c r="BP58" s="67" t="e">
        <f>IF(BM58&lt;'DADOS DOS EMPREENDIMENTOS'!BO$11,0,IF(BM58='DADOS DOS EMPREENDIMENTOS'!BO$11,SUM(BO$41:BO58)*(1-'DADOS DOS EMPREENDIMENTOS'!#REF!-'DADOS DOS EMPREENDIMENTOS'!#REF!)+'DADOS DOS EMPREENDIMENTOS'!#REF!,IF(BM58='DADOS DOS EMPREENDIMENTOS'!BO$12,'DADOS DOS EMPREENDIMENTOS'!#REF!,BO58*(1-'DADOS DOS EMPREENDIMENTOS'!#REF!-'DADOS DOS EMPREENDIMENTOS'!#REF!))))</f>
        <v>#REF!</v>
      </c>
      <c r="BR58" s="52">
        <v>17</v>
      </c>
      <c r="BS58" s="31">
        <v>40452</v>
      </c>
      <c r="BT58" s="9">
        <v>0.12929999981864104</v>
      </c>
      <c r="BU58" s="67" t="e">
        <f>IF(BR58&lt;'DADOS DOS EMPREENDIMENTOS'!BT$11,0,IF(BR58='DADOS DOS EMPREENDIMENTOS'!BT$11,SUM(BT$41:BT58)*(1-'DADOS DOS EMPREENDIMENTOS'!#REF!-'DADOS DOS EMPREENDIMENTOS'!#REF!)+'DADOS DOS EMPREENDIMENTOS'!#REF!,IF(BR58='DADOS DOS EMPREENDIMENTOS'!BT$12,'DADOS DOS EMPREENDIMENTOS'!#REF!,BT58*(1-'DADOS DOS EMPREENDIMENTOS'!#REF!-'DADOS DOS EMPREENDIMENTOS'!#REF!))))</f>
        <v>#REF!</v>
      </c>
      <c r="BW58" s="52">
        <v>17</v>
      </c>
      <c r="BX58" s="31">
        <v>40452</v>
      </c>
      <c r="BY58" s="9">
        <v>0.12929999981864104</v>
      </c>
      <c r="BZ58" s="67" t="e">
        <f>IF(BW58&lt;'DADOS DOS EMPREENDIMENTOS'!BY$11,0,IF(BW58='DADOS DOS EMPREENDIMENTOS'!BY$11,SUM(BY$41:BY58)*(1-'DADOS DOS EMPREENDIMENTOS'!#REF!-'DADOS DOS EMPREENDIMENTOS'!#REF!)+'DADOS DOS EMPREENDIMENTOS'!#REF!,IF(BW58='DADOS DOS EMPREENDIMENTOS'!BY$12,'DADOS DOS EMPREENDIMENTOS'!#REF!,BY58*(1-'DADOS DOS EMPREENDIMENTOS'!#REF!-'DADOS DOS EMPREENDIMENTOS'!#REF!))))</f>
        <v>#REF!</v>
      </c>
      <c r="CB58" s="52">
        <v>17</v>
      </c>
      <c r="CC58" s="31">
        <v>40452</v>
      </c>
      <c r="CD58" s="9">
        <v>0.12929999981864104</v>
      </c>
      <c r="CE58" s="67" t="e">
        <f>IF(CB58&lt;'DADOS DOS EMPREENDIMENTOS'!CD$11,0,IF(CB58='DADOS DOS EMPREENDIMENTOS'!CD$11,SUM(CD$41:CD58)*(1-'DADOS DOS EMPREENDIMENTOS'!#REF!-'DADOS DOS EMPREENDIMENTOS'!#REF!)+'DADOS DOS EMPREENDIMENTOS'!#REF!,IF(CB58='DADOS DOS EMPREENDIMENTOS'!CD$12,'DADOS DOS EMPREENDIMENTOS'!#REF!,CD58*(1-'DADOS DOS EMPREENDIMENTOS'!#REF!-'DADOS DOS EMPREENDIMENTOS'!#REF!))))</f>
        <v>#REF!</v>
      </c>
      <c r="CG58" s="52"/>
      <c r="CH58" s="31"/>
      <c r="CI58" s="9"/>
      <c r="CJ58" s="67"/>
    </row>
    <row r="59" spans="15:88" ht="12.75" customHeight="1" thickBot="1" x14ac:dyDescent="0.25">
      <c r="O59" s="45">
        <v>44</v>
      </c>
      <c r="P59" s="640" t="s">
        <v>359</v>
      </c>
      <c r="Q59" s="677">
        <f>VLOOKUP(P59,Apoio!C:E,2,0)</f>
        <v>245940</v>
      </c>
      <c r="R59" s="641" t="s">
        <v>316</v>
      </c>
      <c r="S59" s="378">
        <v>5</v>
      </c>
      <c r="T59" s="52">
        <v>18</v>
      </c>
      <c r="U59" s="31"/>
      <c r="V59" s="9"/>
      <c r="W59" s="67"/>
      <c r="Y59" s="52">
        <v>18</v>
      </c>
      <c r="Z59" s="31"/>
      <c r="AA59" s="9"/>
      <c r="AB59" s="67"/>
      <c r="AD59" s="52">
        <v>18</v>
      </c>
      <c r="AE59" s="31">
        <v>40483</v>
      </c>
      <c r="AF59" s="9">
        <v>0.1043999999896966</v>
      </c>
      <c r="AG59" s="67" t="e">
        <f>IF(AD59&lt;'DADOS DOS EMPREENDIMENTOS'!AF$11,0,IF(AD59='DADOS DOS EMPREENDIMENTOS'!AF$11,SUM(AF$41:AF59)*(1-'DADOS DOS EMPREENDIMENTOS'!#REF!-'DADOS DOS EMPREENDIMENTOS'!#REF!)+'DADOS DOS EMPREENDIMENTOS'!#REF!,IF(AD59='DADOS DOS EMPREENDIMENTOS'!#REF!,'DADOS DOS EMPREENDIMENTOS'!#REF!,AF59*(1-'DADOS DOS EMPREENDIMENTOS'!#REF!-'DADOS DOS EMPREENDIMENTOS'!#REF!))))</f>
        <v>#REF!</v>
      </c>
      <c r="AI59" s="52">
        <v>18</v>
      </c>
      <c r="AJ59" s="31">
        <v>40483</v>
      </c>
      <c r="AK59" s="9">
        <v>0.1043999999896966</v>
      </c>
      <c r="AL59" s="67" t="e">
        <f>IF(AI59&lt;'DADOS DOS EMPREENDIMENTOS'!AK$11,0,IF(AI59='DADOS DOS EMPREENDIMENTOS'!AK$11,SUM(AK$41:AK59)*(1-'DADOS DOS EMPREENDIMENTOS'!#REF!-'DADOS DOS EMPREENDIMENTOS'!#REF!)+'DADOS DOS EMPREENDIMENTOS'!#REF!,IF(AI59='DADOS DOS EMPREENDIMENTOS'!#REF!,'DADOS DOS EMPREENDIMENTOS'!#REF!,AK59*(1-'DADOS DOS EMPREENDIMENTOS'!#REF!-'DADOS DOS EMPREENDIMENTOS'!#REF!))))</f>
        <v>#REF!</v>
      </c>
      <c r="AN59" s="52">
        <v>18</v>
      </c>
      <c r="AO59" s="31">
        <v>40483</v>
      </c>
      <c r="AP59" s="9">
        <v>0.1043999999896966</v>
      </c>
      <c r="AQ59" s="67" t="e">
        <f>IF(AN59&lt;'DADOS DOS EMPREENDIMENTOS'!AP$11,0,IF(AN59='DADOS DOS EMPREENDIMENTOS'!AP$11,SUM(AP$41:AP59)*(1-'DADOS DOS EMPREENDIMENTOS'!#REF!-'DADOS DOS EMPREENDIMENTOS'!#REF!)+'DADOS DOS EMPREENDIMENTOS'!#REF!,IF(AN59='DADOS DOS EMPREENDIMENTOS'!#REF!,'DADOS DOS EMPREENDIMENTOS'!#REF!,AP59*(1-'DADOS DOS EMPREENDIMENTOS'!#REF!-'DADOS DOS EMPREENDIMENTOS'!#REF!))))</f>
        <v>#REF!</v>
      </c>
      <c r="AS59" s="52">
        <v>18</v>
      </c>
      <c r="AT59" s="31">
        <v>40483</v>
      </c>
      <c r="AU59" s="9">
        <v>0.1043999999896966</v>
      </c>
      <c r="AV59" s="67" t="e">
        <f>IF(AS59&lt;'DADOS DOS EMPREENDIMENTOS'!AU$11,0,IF(AS59='DADOS DOS EMPREENDIMENTOS'!AU$11,SUM(AU$41:AU59)*(1-'DADOS DOS EMPREENDIMENTOS'!#REF!-'DADOS DOS EMPREENDIMENTOS'!#REF!)+'DADOS DOS EMPREENDIMENTOS'!#REF!,IF(AS59='DADOS DOS EMPREENDIMENTOS'!#REF!,'DADOS DOS EMPREENDIMENTOS'!#REF!,AU59*(1-'DADOS DOS EMPREENDIMENTOS'!#REF!-'DADOS DOS EMPREENDIMENTOS'!#REF!))))</f>
        <v>#REF!</v>
      </c>
      <c r="AX59" s="52">
        <v>18</v>
      </c>
      <c r="AY59" s="31">
        <v>40483</v>
      </c>
      <c r="AZ59" s="9">
        <v>0.1043999999896966</v>
      </c>
      <c r="BA59" s="67" t="e">
        <f>IF(AX59&lt;'DADOS DOS EMPREENDIMENTOS'!AZ$11,0,IF(AX59='DADOS DOS EMPREENDIMENTOS'!AZ$11,SUM(AZ$41:AZ59)*(1-'DADOS DOS EMPREENDIMENTOS'!#REF!-'DADOS DOS EMPREENDIMENTOS'!#REF!)+'DADOS DOS EMPREENDIMENTOS'!#REF!,IF(AX59='DADOS DOS EMPREENDIMENTOS'!#REF!,'DADOS DOS EMPREENDIMENTOS'!#REF!,AZ59*(1-'DADOS DOS EMPREENDIMENTOS'!#REF!-'DADOS DOS EMPREENDIMENTOS'!#REF!))))</f>
        <v>#REF!</v>
      </c>
      <c r="BC59" s="52">
        <v>18</v>
      </c>
      <c r="BD59" s="31">
        <v>40483</v>
      </c>
      <c r="BE59" s="9">
        <v>0.1043999999896966</v>
      </c>
      <c r="BF59" s="67" t="e">
        <f>IF(BC59&lt;'DADOS DOS EMPREENDIMENTOS'!BE$11,0,IF(BC59='DADOS DOS EMPREENDIMENTOS'!BE$11,SUM(BE$41:BE59)*(1-'DADOS DOS EMPREENDIMENTOS'!#REF!-'DADOS DOS EMPREENDIMENTOS'!#REF!)+'DADOS DOS EMPREENDIMENTOS'!#REF!,IF(BC59='DADOS DOS EMPREENDIMENTOS'!#REF!,'DADOS DOS EMPREENDIMENTOS'!#REF!,BE59*(1-'DADOS DOS EMPREENDIMENTOS'!#REF!-'DADOS DOS EMPREENDIMENTOS'!#REF!))))</f>
        <v>#REF!</v>
      </c>
      <c r="BH59" s="52">
        <v>18</v>
      </c>
      <c r="BI59" s="31">
        <v>40483</v>
      </c>
      <c r="BJ59" s="9">
        <v>0.1043999999896966</v>
      </c>
      <c r="BK59" s="67" t="e">
        <f>IF(BH59&lt;'DADOS DOS EMPREENDIMENTOS'!BJ$11,0,IF(BH59='DADOS DOS EMPREENDIMENTOS'!BJ$11,SUM(BJ$41:BJ59)*(1-'DADOS DOS EMPREENDIMENTOS'!#REF!-'DADOS DOS EMPREENDIMENTOS'!#REF!)+'DADOS DOS EMPREENDIMENTOS'!#REF!,IF(BH59='DADOS DOS EMPREENDIMENTOS'!#REF!,'DADOS DOS EMPREENDIMENTOS'!#REF!,BJ59*(1-'DADOS DOS EMPREENDIMENTOS'!#REF!-'DADOS DOS EMPREENDIMENTOS'!#REF!))))</f>
        <v>#REF!</v>
      </c>
      <c r="BM59" s="52">
        <v>18</v>
      </c>
      <c r="BN59" s="31">
        <v>40483</v>
      </c>
      <c r="BO59" s="9">
        <v>0.1043999999896966</v>
      </c>
      <c r="BP59" s="67" t="e">
        <f>IF(BM59&lt;'DADOS DOS EMPREENDIMENTOS'!BO$11,0,IF(BM59='DADOS DOS EMPREENDIMENTOS'!BO$11,SUM(BO$41:BO59)*(1-'DADOS DOS EMPREENDIMENTOS'!#REF!-'DADOS DOS EMPREENDIMENTOS'!#REF!)+'DADOS DOS EMPREENDIMENTOS'!#REF!,IF(BM59='DADOS DOS EMPREENDIMENTOS'!BO$12,'DADOS DOS EMPREENDIMENTOS'!#REF!,BO59*(1-'DADOS DOS EMPREENDIMENTOS'!#REF!-'DADOS DOS EMPREENDIMENTOS'!#REF!))))</f>
        <v>#REF!</v>
      </c>
      <c r="BR59" s="52">
        <v>18</v>
      </c>
      <c r="BS59" s="31">
        <v>40483</v>
      </c>
      <c r="BT59" s="9">
        <v>0.1043999999896966</v>
      </c>
      <c r="BU59" s="67" t="e">
        <f>IF(BR59&lt;'DADOS DOS EMPREENDIMENTOS'!BT$11,0,IF(BR59='DADOS DOS EMPREENDIMENTOS'!BT$11,SUM(BT$41:BT59)*(1-'DADOS DOS EMPREENDIMENTOS'!#REF!-'DADOS DOS EMPREENDIMENTOS'!#REF!)+'DADOS DOS EMPREENDIMENTOS'!#REF!,IF(BR59='DADOS DOS EMPREENDIMENTOS'!BT$12,'DADOS DOS EMPREENDIMENTOS'!#REF!,BT59*(1-'DADOS DOS EMPREENDIMENTOS'!#REF!-'DADOS DOS EMPREENDIMENTOS'!#REF!))))</f>
        <v>#REF!</v>
      </c>
      <c r="BW59" s="52">
        <v>18</v>
      </c>
      <c r="BX59" s="31">
        <v>40483</v>
      </c>
      <c r="BY59" s="9">
        <v>0.1043999999896966</v>
      </c>
      <c r="BZ59" s="67" t="e">
        <f>IF(BW59&lt;'DADOS DOS EMPREENDIMENTOS'!BY$11,0,IF(BW59='DADOS DOS EMPREENDIMENTOS'!BY$11,SUM(BY$41:BY59)*(1-'DADOS DOS EMPREENDIMENTOS'!#REF!-'DADOS DOS EMPREENDIMENTOS'!#REF!)+'DADOS DOS EMPREENDIMENTOS'!#REF!,IF(BW59='DADOS DOS EMPREENDIMENTOS'!BY$12,'DADOS DOS EMPREENDIMENTOS'!#REF!,BY59*(1-'DADOS DOS EMPREENDIMENTOS'!#REF!-'DADOS DOS EMPREENDIMENTOS'!#REF!))))</f>
        <v>#REF!</v>
      </c>
      <c r="CB59" s="52">
        <v>18</v>
      </c>
      <c r="CC59" s="31">
        <v>40483</v>
      </c>
      <c r="CD59" s="9">
        <v>0.1043999999896966</v>
      </c>
      <c r="CE59" s="67" t="e">
        <f>IF(CB59&lt;'DADOS DOS EMPREENDIMENTOS'!CD$11,0,IF(CB59='DADOS DOS EMPREENDIMENTOS'!CD$11,SUM(CD$41:CD59)*(1-'DADOS DOS EMPREENDIMENTOS'!#REF!-'DADOS DOS EMPREENDIMENTOS'!#REF!)+'DADOS DOS EMPREENDIMENTOS'!#REF!,IF(CB59='DADOS DOS EMPREENDIMENTOS'!CD$12,'DADOS DOS EMPREENDIMENTOS'!#REF!,CD59*(1-'DADOS DOS EMPREENDIMENTOS'!#REF!-'DADOS DOS EMPREENDIMENTOS'!#REF!))))</f>
        <v>#REF!</v>
      </c>
      <c r="CG59" s="52"/>
      <c r="CH59" s="31"/>
      <c r="CI59" s="9"/>
      <c r="CJ59" s="67"/>
    </row>
    <row r="60" spans="15:88" ht="12.75" customHeight="1" thickBot="1" x14ac:dyDescent="0.25">
      <c r="O60" s="43">
        <v>45</v>
      </c>
      <c r="P60" s="640" t="s">
        <v>360</v>
      </c>
      <c r="Q60" s="677">
        <f>VLOOKUP(P60,Apoio!C:E,2,0)</f>
        <v>245940</v>
      </c>
      <c r="R60" s="641" t="s">
        <v>316</v>
      </c>
      <c r="S60" s="378">
        <v>5</v>
      </c>
      <c r="T60" s="52">
        <v>19</v>
      </c>
      <c r="U60" s="31"/>
      <c r="V60" s="9"/>
      <c r="W60" s="67"/>
      <c r="Y60" s="52">
        <v>19</v>
      </c>
      <c r="Z60" s="31"/>
      <c r="AA60" s="9"/>
      <c r="AB60" s="67"/>
      <c r="AD60" s="52">
        <v>19</v>
      </c>
      <c r="AE60" s="31">
        <v>40513</v>
      </c>
      <c r="AF60" s="9">
        <v>5.6100000154837237E-2</v>
      </c>
      <c r="AG60" s="67" t="e">
        <f>IF(AD60&lt;'DADOS DOS EMPREENDIMENTOS'!AF$11,0,IF(AD60='DADOS DOS EMPREENDIMENTOS'!AF$11,SUM(AF$41:AF60)*(1-'DADOS DOS EMPREENDIMENTOS'!#REF!-'DADOS DOS EMPREENDIMENTOS'!#REF!)+'DADOS DOS EMPREENDIMENTOS'!#REF!,IF(AD60='DADOS DOS EMPREENDIMENTOS'!#REF!,'DADOS DOS EMPREENDIMENTOS'!#REF!,AF60*(1-'DADOS DOS EMPREENDIMENTOS'!#REF!-'DADOS DOS EMPREENDIMENTOS'!#REF!))))</f>
        <v>#REF!</v>
      </c>
      <c r="AI60" s="52">
        <v>19</v>
      </c>
      <c r="AJ60" s="31">
        <v>40513</v>
      </c>
      <c r="AK60" s="9">
        <v>5.6100000154837237E-2</v>
      </c>
      <c r="AL60" s="67" t="e">
        <f>IF(AI60&lt;'DADOS DOS EMPREENDIMENTOS'!AK$11,0,IF(AI60='DADOS DOS EMPREENDIMENTOS'!AK$11,SUM(AK$41:AK60)*(1-'DADOS DOS EMPREENDIMENTOS'!#REF!-'DADOS DOS EMPREENDIMENTOS'!#REF!)+'DADOS DOS EMPREENDIMENTOS'!#REF!,IF(AI60='DADOS DOS EMPREENDIMENTOS'!#REF!,'DADOS DOS EMPREENDIMENTOS'!#REF!,AK60*(1-'DADOS DOS EMPREENDIMENTOS'!#REF!-'DADOS DOS EMPREENDIMENTOS'!#REF!))))</f>
        <v>#REF!</v>
      </c>
      <c r="AN60" s="52">
        <v>19</v>
      </c>
      <c r="AO60" s="31">
        <v>40513</v>
      </c>
      <c r="AP60" s="9">
        <v>5.6100000154837237E-2</v>
      </c>
      <c r="AQ60" s="67" t="e">
        <f>IF(AN60&lt;'DADOS DOS EMPREENDIMENTOS'!AP$11,0,IF(AN60='DADOS DOS EMPREENDIMENTOS'!AP$11,SUM(AP$41:AP60)*(1-'DADOS DOS EMPREENDIMENTOS'!#REF!-'DADOS DOS EMPREENDIMENTOS'!#REF!)+'DADOS DOS EMPREENDIMENTOS'!#REF!,IF(AN60='DADOS DOS EMPREENDIMENTOS'!#REF!,'DADOS DOS EMPREENDIMENTOS'!#REF!,AP60*(1-'DADOS DOS EMPREENDIMENTOS'!#REF!-'DADOS DOS EMPREENDIMENTOS'!#REF!))))</f>
        <v>#REF!</v>
      </c>
      <c r="AS60" s="52">
        <v>19</v>
      </c>
      <c r="AT60" s="31">
        <v>40513</v>
      </c>
      <c r="AU60" s="9">
        <v>5.6100000154837237E-2</v>
      </c>
      <c r="AV60" s="67" t="e">
        <f>IF(AS60&lt;'DADOS DOS EMPREENDIMENTOS'!AU$11,0,IF(AS60='DADOS DOS EMPREENDIMENTOS'!AU$11,SUM(AU$41:AU60)*(1-'DADOS DOS EMPREENDIMENTOS'!#REF!-'DADOS DOS EMPREENDIMENTOS'!#REF!)+'DADOS DOS EMPREENDIMENTOS'!#REF!,IF(AS60='DADOS DOS EMPREENDIMENTOS'!#REF!,'DADOS DOS EMPREENDIMENTOS'!#REF!,AU60*(1-'DADOS DOS EMPREENDIMENTOS'!#REF!-'DADOS DOS EMPREENDIMENTOS'!#REF!))))</f>
        <v>#REF!</v>
      </c>
      <c r="AX60" s="52">
        <v>19</v>
      </c>
      <c r="AY60" s="31">
        <v>40513</v>
      </c>
      <c r="AZ60" s="9">
        <v>5.6100000154837237E-2</v>
      </c>
      <c r="BA60" s="67" t="e">
        <f>IF(AX60&lt;'DADOS DOS EMPREENDIMENTOS'!AZ$11,0,IF(AX60='DADOS DOS EMPREENDIMENTOS'!AZ$11,SUM(AZ$41:AZ60)*(1-'DADOS DOS EMPREENDIMENTOS'!#REF!-'DADOS DOS EMPREENDIMENTOS'!#REF!)+'DADOS DOS EMPREENDIMENTOS'!#REF!,IF(AX60='DADOS DOS EMPREENDIMENTOS'!#REF!,'DADOS DOS EMPREENDIMENTOS'!#REF!,AZ60*(1-'DADOS DOS EMPREENDIMENTOS'!#REF!-'DADOS DOS EMPREENDIMENTOS'!#REF!))))</f>
        <v>#REF!</v>
      </c>
      <c r="BC60" s="52">
        <v>19</v>
      </c>
      <c r="BD60" s="31">
        <v>40513</v>
      </c>
      <c r="BE60" s="9">
        <v>5.6100000154837237E-2</v>
      </c>
      <c r="BF60" s="67" t="e">
        <f>IF(BC60&lt;'DADOS DOS EMPREENDIMENTOS'!BE$11,0,IF(BC60='DADOS DOS EMPREENDIMENTOS'!BE$11,SUM(BE$41:BE60)*(1-'DADOS DOS EMPREENDIMENTOS'!#REF!-'DADOS DOS EMPREENDIMENTOS'!#REF!)+'DADOS DOS EMPREENDIMENTOS'!#REF!,IF(BC60='DADOS DOS EMPREENDIMENTOS'!#REF!,'DADOS DOS EMPREENDIMENTOS'!#REF!,BE60*(1-'DADOS DOS EMPREENDIMENTOS'!#REF!-'DADOS DOS EMPREENDIMENTOS'!#REF!))))</f>
        <v>#REF!</v>
      </c>
      <c r="BH60" s="52">
        <v>19</v>
      </c>
      <c r="BI60" s="31">
        <v>40513</v>
      </c>
      <c r="BJ60" s="9">
        <v>5.6100000154837237E-2</v>
      </c>
      <c r="BK60" s="67" t="e">
        <f>IF(BH60&lt;'DADOS DOS EMPREENDIMENTOS'!BJ$11,0,IF(BH60='DADOS DOS EMPREENDIMENTOS'!BJ$11,SUM(BJ$41:BJ60)*(1-'DADOS DOS EMPREENDIMENTOS'!#REF!-'DADOS DOS EMPREENDIMENTOS'!#REF!)+'DADOS DOS EMPREENDIMENTOS'!#REF!,IF(BH60='DADOS DOS EMPREENDIMENTOS'!#REF!,'DADOS DOS EMPREENDIMENTOS'!#REF!,BJ60*(1-'DADOS DOS EMPREENDIMENTOS'!#REF!-'DADOS DOS EMPREENDIMENTOS'!#REF!))))</f>
        <v>#REF!</v>
      </c>
      <c r="BM60" s="52">
        <v>19</v>
      </c>
      <c r="BN60" s="31">
        <v>40513</v>
      </c>
      <c r="BO60" s="9">
        <v>5.6100000154837237E-2</v>
      </c>
      <c r="BP60" s="67" t="e">
        <f>IF(BM60&lt;'DADOS DOS EMPREENDIMENTOS'!BO$11,0,IF(BM60='DADOS DOS EMPREENDIMENTOS'!BO$11,SUM(BO$41:BO60)*(1-'DADOS DOS EMPREENDIMENTOS'!#REF!-'DADOS DOS EMPREENDIMENTOS'!#REF!)+'DADOS DOS EMPREENDIMENTOS'!#REF!,IF(BM60='DADOS DOS EMPREENDIMENTOS'!BO$12,'DADOS DOS EMPREENDIMENTOS'!#REF!,BO60*(1-'DADOS DOS EMPREENDIMENTOS'!#REF!-'DADOS DOS EMPREENDIMENTOS'!#REF!))))</f>
        <v>#REF!</v>
      </c>
      <c r="BR60" s="52">
        <v>19</v>
      </c>
      <c r="BS60" s="31">
        <v>40513</v>
      </c>
      <c r="BT60" s="9">
        <v>5.6100000154837237E-2</v>
      </c>
      <c r="BU60" s="67" t="e">
        <f>IF(BR60&lt;'DADOS DOS EMPREENDIMENTOS'!BT$11,0,IF(BR60='DADOS DOS EMPREENDIMENTOS'!BT$11,SUM(BT$41:BT60)*(1-'DADOS DOS EMPREENDIMENTOS'!#REF!-'DADOS DOS EMPREENDIMENTOS'!#REF!)+'DADOS DOS EMPREENDIMENTOS'!#REF!,IF(BR60='DADOS DOS EMPREENDIMENTOS'!BT$12,'DADOS DOS EMPREENDIMENTOS'!#REF!,BT60*(1-'DADOS DOS EMPREENDIMENTOS'!#REF!-'DADOS DOS EMPREENDIMENTOS'!#REF!))))</f>
        <v>#REF!</v>
      </c>
      <c r="BW60" s="52">
        <v>19</v>
      </c>
      <c r="BX60" s="31">
        <v>40513</v>
      </c>
      <c r="BY60" s="9">
        <v>5.6100000154837237E-2</v>
      </c>
      <c r="BZ60" s="67" t="e">
        <f>IF(BW60&lt;'DADOS DOS EMPREENDIMENTOS'!BY$11,0,IF(BW60='DADOS DOS EMPREENDIMENTOS'!BY$11,SUM(BY$41:BY60)*(1-'DADOS DOS EMPREENDIMENTOS'!#REF!-'DADOS DOS EMPREENDIMENTOS'!#REF!)+'DADOS DOS EMPREENDIMENTOS'!#REF!,IF(BW60='DADOS DOS EMPREENDIMENTOS'!BY$12,'DADOS DOS EMPREENDIMENTOS'!#REF!,BY60*(1-'DADOS DOS EMPREENDIMENTOS'!#REF!-'DADOS DOS EMPREENDIMENTOS'!#REF!))))</f>
        <v>#REF!</v>
      </c>
      <c r="CB60" s="52">
        <v>19</v>
      </c>
      <c r="CC60" s="31">
        <v>40513</v>
      </c>
      <c r="CD60" s="9">
        <v>5.6100000154837237E-2</v>
      </c>
      <c r="CE60" s="67" t="e">
        <f>IF(CB60&lt;'DADOS DOS EMPREENDIMENTOS'!CD$11,0,IF(CB60='DADOS DOS EMPREENDIMENTOS'!CD$11,SUM(CD$41:CD60)*(1-'DADOS DOS EMPREENDIMENTOS'!#REF!-'DADOS DOS EMPREENDIMENTOS'!#REF!)+'DADOS DOS EMPREENDIMENTOS'!#REF!,IF(CB60='DADOS DOS EMPREENDIMENTOS'!CD$12,'DADOS DOS EMPREENDIMENTOS'!#REF!,CD60*(1-'DADOS DOS EMPREENDIMENTOS'!#REF!-'DADOS DOS EMPREENDIMENTOS'!#REF!))))</f>
        <v>#REF!</v>
      </c>
      <c r="CG60" s="52"/>
      <c r="CH60" s="31"/>
      <c r="CI60" s="9"/>
      <c r="CJ60" s="67"/>
    </row>
    <row r="61" spans="15:88" ht="12.75" customHeight="1" thickBot="1" x14ac:dyDescent="0.25">
      <c r="O61" s="45">
        <v>46</v>
      </c>
      <c r="P61" s="640" t="s">
        <v>361</v>
      </c>
      <c r="Q61" s="677">
        <f>VLOOKUP(P61,Apoio!C:E,2,0)</f>
        <v>246030</v>
      </c>
      <c r="R61" s="641" t="s">
        <v>316</v>
      </c>
      <c r="S61" s="378">
        <v>5</v>
      </c>
      <c r="T61" s="52">
        <v>20</v>
      </c>
      <c r="U61" s="31"/>
      <c r="V61" s="9"/>
      <c r="W61" s="67"/>
      <c r="Y61" s="52">
        <v>20</v>
      </c>
      <c r="Z61" s="31"/>
      <c r="AA61" s="9"/>
      <c r="AB61" s="67"/>
      <c r="AD61" s="52">
        <v>20</v>
      </c>
      <c r="AE61" s="31">
        <v>40544</v>
      </c>
      <c r="AF61" s="9">
        <v>8.9000001265982839E-3</v>
      </c>
      <c r="AG61" s="67" t="e">
        <f>IF(AD61&lt;'DADOS DOS EMPREENDIMENTOS'!AF$11,0,IF(AD61='DADOS DOS EMPREENDIMENTOS'!AF$11,SUM(AF$41:AF61)*(1-'DADOS DOS EMPREENDIMENTOS'!#REF!-'DADOS DOS EMPREENDIMENTOS'!#REF!)+'DADOS DOS EMPREENDIMENTOS'!#REF!,IF(AD61='DADOS DOS EMPREENDIMENTOS'!#REF!,'DADOS DOS EMPREENDIMENTOS'!#REF!,AF61*(1-'DADOS DOS EMPREENDIMENTOS'!#REF!-'DADOS DOS EMPREENDIMENTOS'!#REF!))))</f>
        <v>#REF!</v>
      </c>
      <c r="AI61" s="52">
        <v>20</v>
      </c>
      <c r="AJ61" s="31">
        <v>40544</v>
      </c>
      <c r="AK61" s="9">
        <v>8.9000001265982839E-3</v>
      </c>
      <c r="AL61" s="67" t="e">
        <f>IF(AI61&lt;'DADOS DOS EMPREENDIMENTOS'!AK$11,0,IF(AI61='DADOS DOS EMPREENDIMENTOS'!AK$11,SUM(AK$41:AK61)*(1-'DADOS DOS EMPREENDIMENTOS'!#REF!-'DADOS DOS EMPREENDIMENTOS'!#REF!)+'DADOS DOS EMPREENDIMENTOS'!#REF!,IF(AI61='DADOS DOS EMPREENDIMENTOS'!#REF!,'DADOS DOS EMPREENDIMENTOS'!#REF!,AK61*(1-'DADOS DOS EMPREENDIMENTOS'!#REF!-'DADOS DOS EMPREENDIMENTOS'!#REF!))))</f>
        <v>#REF!</v>
      </c>
      <c r="AN61" s="52">
        <v>20</v>
      </c>
      <c r="AO61" s="31">
        <v>40544</v>
      </c>
      <c r="AP61" s="9">
        <v>8.9000001265982839E-3</v>
      </c>
      <c r="AQ61" s="67" t="e">
        <f>IF(AN61&lt;'DADOS DOS EMPREENDIMENTOS'!AP$11,0,IF(AN61='DADOS DOS EMPREENDIMENTOS'!AP$11,SUM(AP$41:AP61)*(1-'DADOS DOS EMPREENDIMENTOS'!#REF!-'DADOS DOS EMPREENDIMENTOS'!#REF!)+'DADOS DOS EMPREENDIMENTOS'!#REF!,IF(AN61='DADOS DOS EMPREENDIMENTOS'!#REF!,'DADOS DOS EMPREENDIMENTOS'!#REF!,AP61*(1-'DADOS DOS EMPREENDIMENTOS'!#REF!-'DADOS DOS EMPREENDIMENTOS'!#REF!))))</f>
        <v>#REF!</v>
      </c>
      <c r="AS61" s="52">
        <v>20</v>
      </c>
      <c r="AT61" s="31">
        <v>40544</v>
      </c>
      <c r="AU61" s="9">
        <v>8.9000001265982839E-3</v>
      </c>
      <c r="AV61" s="67" t="e">
        <f>IF(AS61&lt;'DADOS DOS EMPREENDIMENTOS'!AU$11,0,IF(AS61='DADOS DOS EMPREENDIMENTOS'!AU$11,SUM(AU$41:AU61)*(1-'DADOS DOS EMPREENDIMENTOS'!#REF!-'DADOS DOS EMPREENDIMENTOS'!#REF!)+'DADOS DOS EMPREENDIMENTOS'!#REF!,IF(AS61='DADOS DOS EMPREENDIMENTOS'!#REF!,'DADOS DOS EMPREENDIMENTOS'!#REF!,AU61*(1-'DADOS DOS EMPREENDIMENTOS'!#REF!-'DADOS DOS EMPREENDIMENTOS'!#REF!))))</f>
        <v>#REF!</v>
      </c>
      <c r="AX61" s="52">
        <v>20</v>
      </c>
      <c r="AY61" s="31">
        <v>40544</v>
      </c>
      <c r="AZ61" s="9">
        <v>8.9000001265982839E-3</v>
      </c>
      <c r="BA61" s="67" t="e">
        <f>IF(AX61&lt;'DADOS DOS EMPREENDIMENTOS'!AZ$11,0,IF(AX61='DADOS DOS EMPREENDIMENTOS'!AZ$11,SUM(AZ$41:AZ61)*(1-'DADOS DOS EMPREENDIMENTOS'!#REF!-'DADOS DOS EMPREENDIMENTOS'!#REF!)+'DADOS DOS EMPREENDIMENTOS'!#REF!,IF(AX61='DADOS DOS EMPREENDIMENTOS'!#REF!,'DADOS DOS EMPREENDIMENTOS'!#REF!,AZ61*(1-'DADOS DOS EMPREENDIMENTOS'!#REF!-'DADOS DOS EMPREENDIMENTOS'!#REF!))))</f>
        <v>#REF!</v>
      </c>
      <c r="BC61" s="52">
        <v>20</v>
      </c>
      <c r="BD61" s="31">
        <v>40544</v>
      </c>
      <c r="BE61" s="9">
        <v>8.9000001265982839E-3</v>
      </c>
      <c r="BF61" s="67" t="e">
        <f>IF(BC61&lt;'DADOS DOS EMPREENDIMENTOS'!BE$11,0,IF(BC61='DADOS DOS EMPREENDIMENTOS'!BE$11,SUM(BE$41:BE61)*(1-'DADOS DOS EMPREENDIMENTOS'!#REF!-'DADOS DOS EMPREENDIMENTOS'!#REF!)+'DADOS DOS EMPREENDIMENTOS'!#REF!,IF(BC61='DADOS DOS EMPREENDIMENTOS'!#REF!,'DADOS DOS EMPREENDIMENTOS'!#REF!,BE61*(1-'DADOS DOS EMPREENDIMENTOS'!#REF!-'DADOS DOS EMPREENDIMENTOS'!#REF!))))</f>
        <v>#REF!</v>
      </c>
      <c r="BH61" s="52">
        <v>20</v>
      </c>
      <c r="BI61" s="31">
        <v>40544</v>
      </c>
      <c r="BJ61" s="9">
        <v>8.9000001265982839E-3</v>
      </c>
      <c r="BK61" s="67" t="e">
        <f>IF(BH61&lt;'DADOS DOS EMPREENDIMENTOS'!BJ$11,0,IF(BH61='DADOS DOS EMPREENDIMENTOS'!BJ$11,SUM(BJ$41:BJ61)*(1-'DADOS DOS EMPREENDIMENTOS'!#REF!-'DADOS DOS EMPREENDIMENTOS'!#REF!)+'DADOS DOS EMPREENDIMENTOS'!#REF!,IF(BH61='DADOS DOS EMPREENDIMENTOS'!#REF!,'DADOS DOS EMPREENDIMENTOS'!#REF!,BJ61*(1-'DADOS DOS EMPREENDIMENTOS'!#REF!-'DADOS DOS EMPREENDIMENTOS'!#REF!))))</f>
        <v>#REF!</v>
      </c>
      <c r="BM61" s="52">
        <v>20</v>
      </c>
      <c r="BN61" s="31">
        <v>40544</v>
      </c>
      <c r="BO61" s="9">
        <v>8.9000001265982839E-3</v>
      </c>
      <c r="BP61" s="67" t="e">
        <f>IF(BM61&lt;'DADOS DOS EMPREENDIMENTOS'!BO$11,0,IF(BM61='DADOS DOS EMPREENDIMENTOS'!BO$11,SUM(BO$41:BO61)*(1-'DADOS DOS EMPREENDIMENTOS'!#REF!-'DADOS DOS EMPREENDIMENTOS'!#REF!)+'DADOS DOS EMPREENDIMENTOS'!#REF!,IF(BM61='DADOS DOS EMPREENDIMENTOS'!BO$12,'DADOS DOS EMPREENDIMENTOS'!#REF!,BO61*(1-'DADOS DOS EMPREENDIMENTOS'!#REF!-'DADOS DOS EMPREENDIMENTOS'!#REF!))))</f>
        <v>#REF!</v>
      </c>
      <c r="BR61" s="52">
        <v>20</v>
      </c>
      <c r="BS61" s="31">
        <v>40544</v>
      </c>
      <c r="BT61" s="9">
        <v>8.9000001265982839E-3</v>
      </c>
      <c r="BU61" s="67" t="e">
        <f>IF(BR61&lt;'DADOS DOS EMPREENDIMENTOS'!BT$11,0,IF(BR61='DADOS DOS EMPREENDIMENTOS'!BT$11,SUM(BT$41:BT61)*(1-'DADOS DOS EMPREENDIMENTOS'!#REF!-'DADOS DOS EMPREENDIMENTOS'!#REF!)+'DADOS DOS EMPREENDIMENTOS'!#REF!,IF(BR61='DADOS DOS EMPREENDIMENTOS'!BT$12,'DADOS DOS EMPREENDIMENTOS'!#REF!,BT61*(1-'DADOS DOS EMPREENDIMENTOS'!#REF!-'DADOS DOS EMPREENDIMENTOS'!#REF!))))</f>
        <v>#REF!</v>
      </c>
      <c r="BW61" s="52">
        <v>20</v>
      </c>
      <c r="BX61" s="31">
        <v>40544</v>
      </c>
      <c r="BY61" s="9">
        <v>8.9000001265982839E-3</v>
      </c>
      <c r="BZ61" s="67" t="e">
        <f>IF(BW61&lt;'DADOS DOS EMPREENDIMENTOS'!BY$11,0,IF(BW61='DADOS DOS EMPREENDIMENTOS'!BY$11,SUM(BY$41:BY61)*(1-'DADOS DOS EMPREENDIMENTOS'!#REF!-'DADOS DOS EMPREENDIMENTOS'!#REF!)+'DADOS DOS EMPREENDIMENTOS'!#REF!,IF(BW61='DADOS DOS EMPREENDIMENTOS'!BY$12,'DADOS DOS EMPREENDIMENTOS'!#REF!,BY61*(1-'DADOS DOS EMPREENDIMENTOS'!#REF!-'DADOS DOS EMPREENDIMENTOS'!#REF!))))</f>
        <v>#REF!</v>
      </c>
      <c r="CB61" s="52">
        <v>20</v>
      </c>
      <c r="CC61" s="31">
        <v>40544</v>
      </c>
      <c r="CD61" s="9">
        <v>8.9000001265982839E-3</v>
      </c>
      <c r="CE61" s="67" t="e">
        <f>IF(CB61&lt;'DADOS DOS EMPREENDIMENTOS'!CD$11,0,IF(CB61='DADOS DOS EMPREENDIMENTOS'!CD$11,SUM(CD$41:CD61)*(1-'DADOS DOS EMPREENDIMENTOS'!#REF!-'DADOS DOS EMPREENDIMENTOS'!#REF!)+'DADOS DOS EMPREENDIMENTOS'!#REF!,IF(CB61='DADOS DOS EMPREENDIMENTOS'!CD$12,'DADOS DOS EMPREENDIMENTOS'!#REF!,CD61*(1-'DADOS DOS EMPREENDIMENTOS'!#REF!-'DADOS DOS EMPREENDIMENTOS'!#REF!))))</f>
        <v>#REF!</v>
      </c>
      <c r="CG61" s="52"/>
      <c r="CH61" s="31"/>
      <c r="CI61" s="9"/>
      <c r="CJ61" s="67"/>
    </row>
    <row r="62" spans="15:88" ht="12.75" customHeight="1" thickBot="1" x14ac:dyDescent="0.25">
      <c r="O62" s="43">
        <v>47</v>
      </c>
      <c r="P62" s="640" t="s">
        <v>362</v>
      </c>
      <c r="Q62" s="677">
        <f>VLOOKUP(P62,Apoio!C:E,2,0)</f>
        <v>246030</v>
      </c>
      <c r="R62" s="641" t="s">
        <v>316</v>
      </c>
      <c r="S62" s="378">
        <v>5</v>
      </c>
      <c r="T62" s="52">
        <v>21</v>
      </c>
      <c r="U62" s="31"/>
      <c r="V62" s="9"/>
      <c r="W62" s="67"/>
      <c r="Y62" s="52">
        <v>21</v>
      </c>
      <c r="Z62" s="31"/>
      <c r="AA62" s="9"/>
      <c r="AB62" s="67"/>
      <c r="AD62" s="52">
        <v>21</v>
      </c>
      <c r="AE62" s="31">
        <v>40575</v>
      </c>
      <c r="AF62" s="9">
        <v>0</v>
      </c>
      <c r="AG62" s="67" t="e">
        <f>IF(AD62&lt;'DADOS DOS EMPREENDIMENTOS'!AF$11,0,IF(AD62='DADOS DOS EMPREENDIMENTOS'!AF$11,SUM(AF$41:AF62)*(1-'DADOS DOS EMPREENDIMENTOS'!#REF!-'DADOS DOS EMPREENDIMENTOS'!#REF!)+'DADOS DOS EMPREENDIMENTOS'!#REF!,IF(AD62='DADOS DOS EMPREENDIMENTOS'!#REF!,'DADOS DOS EMPREENDIMENTOS'!#REF!,AF62*(1-'DADOS DOS EMPREENDIMENTOS'!#REF!-'DADOS DOS EMPREENDIMENTOS'!#REF!))))</f>
        <v>#REF!</v>
      </c>
      <c r="AI62" s="52">
        <v>21</v>
      </c>
      <c r="AJ62" s="31">
        <v>40575</v>
      </c>
      <c r="AK62" s="9">
        <v>0</v>
      </c>
      <c r="AL62" s="67" t="e">
        <f>IF(AI62&lt;'DADOS DOS EMPREENDIMENTOS'!AK$11,0,IF(AI62='DADOS DOS EMPREENDIMENTOS'!AK$11,SUM(AK$41:AK62)*(1-'DADOS DOS EMPREENDIMENTOS'!#REF!-'DADOS DOS EMPREENDIMENTOS'!#REF!)+'DADOS DOS EMPREENDIMENTOS'!#REF!,IF(AI62='DADOS DOS EMPREENDIMENTOS'!#REF!,'DADOS DOS EMPREENDIMENTOS'!#REF!,AK62*(1-'DADOS DOS EMPREENDIMENTOS'!#REF!-'DADOS DOS EMPREENDIMENTOS'!#REF!))))</f>
        <v>#REF!</v>
      </c>
      <c r="AN62" s="52">
        <v>21</v>
      </c>
      <c r="AO62" s="31">
        <v>40575</v>
      </c>
      <c r="AP62" s="9">
        <v>0</v>
      </c>
      <c r="AQ62" s="67" t="e">
        <f>IF(AN62&lt;'DADOS DOS EMPREENDIMENTOS'!AP$11,0,IF(AN62='DADOS DOS EMPREENDIMENTOS'!AP$11,SUM(AP$41:AP62)*(1-'DADOS DOS EMPREENDIMENTOS'!#REF!-'DADOS DOS EMPREENDIMENTOS'!#REF!)+'DADOS DOS EMPREENDIMENTOS'!#REF!,IF(AN62='DADOS DOS EMPREENDIMENTOS'!#REF!,'DADOS DOS EMPREENDIMENTOS'!#REF!,AP62*(1-'DADOS DOS EMPREENDIMENTOS'!#REF!-'DADOS DOS EMPREENDIMENTOS'!#REF!))))</f>
        <v>#REF!</v>
      </c>
      <c r="AS62" s="52">
        <v>21</v>
      </c>
      <c r="AT62" s="31">
        <v>40575</v>
      </c>
      <c r="AU62" s="9">
        <v>0</v>
      </c>
      <c r="AV62" s="67" t="e">
        <f>IF(AS62&lt;'DADOS DOS EMPREENDIMENTOS'!AU$11,0,IF(AS62='DADOS DOS EMPREENDIMENTOS'!AU$11,SUM(AU$41:AU62)*(1-'DADOS DOS EMPREENDIMENTOS'!#REF!-'DADOS DOS EMPREENDIMENTOS'!#REF!)+'DADOS DOS EMPREENDIMENTOS'!#REF!,IF(AS62='DADOS DOS EMPREENDIMENTOS'!#REF!,'DADOS DOS EMPREENDIMENTOS'!#REF!,AU62*(1-'DADOS DOS EMPREENDIMENTOS'!#REF!-'DADOS DOS EMPREENDIMENTOS'!#REF!))))</f>
        <v>#REF!</v>
      </c>
      <c r="AX62" s="52">
        <v>21</v>
      </c>
      <c r="AY62" s="31">
        <v>40575</v>
      </c>
      <c r="AZ62" s="9">
        <v>0</v>
      </c>
      <c r="BA62" s="67" t="e">
        <f>IF(AX62&lt;'DADOS DOS EMPREENDIMENTOS'!AZ$11,0,IF(AX62='DADOS DOS EMPREENDIMENTOS'!AZ$11,SUM(AZ$41:AZ62)*(1-'DADOS DOS EMPREENDIMENTOS'!#REF!-'DADOS DOS EMPREENDIMENTOS'!#REF!)+'DADOS DOS EMPREENDIMENTOS'!#REF!,IF(AX62='DADOS DOS EMPREENDIMENTOS'!#REF!,'DADOS DOS EMPREENDIMENTOS'!#REF!,AZ62*(1-'DADOS DOS EMPREENDIMENTOS'!#REF!-'DADOS DOS EMPREENDIMENTOS'!#REF!))))</f>
        <v>#REF!</v>
      </c>
      <c r="BC62" s="52">
        <v>21</v>
      </c>
      <c r="BD62" s="31">
        <v>40575</v>
      </c>
      <c r="BE62" s="9">
        <v>0</v>
      </c>
      <c r="BF62" s="67" t="e">
        <f>IF(BC62&lt;'DADOS DOS EMPREENDIMENTOS'!BE$11,0,IF(BC62='DADOS DOS EMPREENDIMENTOS'!BE$11,SUM(BE$41:BE62)*(1-'DADOS DOS EMPREENDIMENTOS'!#REF!-'DADOS DOS EMPREENDIMENTOS'!#REF!)+'DADOS DOS EMPREENDIMENTOS'!#REF!,IF(BC62='DADOS DOS EMPREENDIMENTOS'!#REF!,'DADOS DOS EMPREENDIMENTOS'!#REF!,BE62*(1-'DADOS DOS EMPREENDIMENTOS'!#REF!-'DADOS DOS EMPREENDIMENTOS'!#REF!))))</f>
        <v>#REF!</v>
      </c>
      <c r="BH62" s="52">
        <v>21</v>
      </c>
      <c r="BI62" s="31">
        <v>40575</v>
      </c>
      <c r="BJ62" s="9">
        <v>0</v>
      </c>
      <c r="BK62" s="67" t="e">
        <f>IF(BH62&lt;'DADOS DOS EMPREENDIMENTOS'!BJ$11,0,IF(BH62='DADOS DOS EMPREENDIMENTOS'!BJ$11,SUM(BJ$41:BJ62)*(1-'DADOS DOS EMPREENDIMENTOS'!#REF!-'DADOS DOS EMPREENDIMENTOS'!#REF!)+'DADOS DOS EMPREENDIMENTOS'!#REF!,IF(BH62='DADOS DOS EMPREENDIMENTOS'!#REF!,'DADOS DOS EMPREENDIMENTOS'!#REF!,BJ62*(1-'DADOS DOS EMPREENDIMENTOS'!#REF!-'DADOS DOS EMPREENDIMENTOS'!#REF!))))</f>
        <v>#REF!</v>
      </c>
      <c r="BM62" s="52">
        <v>21</v>
      </c>
      <c r="BN62" s="31">
        <v>40575</v>
      </c>
      <c r="BO62" s="9">
        <v>0</v>
      </c>
      <c r="BP62" s="67" t="e">
        <f>IF(BM62&lt;'DADOS DOS EMPREENDIMENTOS'!BO$11,0,IF(BM62='DADOS DOS EMPREENDIMENTOS'!BO$11,SUM(BO$41:BO62)*(1-'DADOS DOS EMPREENDIMENTOS'!#REF!-'DADOS DOS EMPREENDIMENTOS'!#REF!)+'DADOS DOS EMPREENDIMENTOS'!#REF!,IF(BM62='DADOS DOS EMPREENDIMENTOS'!BO$12,'DADOS DOS EMPREENDIMENTOS'!#REF!,BO62*(1-'DADOS DOS EMPREENDIMENTOS'!#REF!-'DADOS DOS EMPREENDIMENTOS'!#REF!))))</f>
        <v>#REF!</v>
      </c>
      <c r="BR62" s="52">
        <v>21</v>
      </c>
      <c r="BS62" s="31">
        <v>40575</v>
      </c>
      <c r="BT62" s="9">
        <v>0</v>
      </c>
      <c r="BU62" s="67" t="e">
        <f>IF(BR62&lt;'DADOS DOS EMPREENDIMENTOS'!BT$11,0,IF(BR62='DADOS DOS EMPREENDIMENTOS'!BT$11,SUM(BT$41:BT62)*(1-'DADOS DOS EMPREENDIMENTOS'!#REF!-'DADOS DOS EMPREENDIMENTOS'!#REF!)+'DADOS DOS EMPREENDIMENTOS'!#REF!,IF(BR62='DADOS DOS EMPREENDIMENTOS'!BT$12,'DADOS DOS EMPREENDIMENTOS'!#REF!,BT62*(1-'DADOS DOS EMPREENDIMENTOS'!#REF!-'DADOS DOS EMPREENDIMENTOS'!#REF!))))</f>
        <v>#REF!</v>
      </c>
      <c r="BW62" s="52">
        <v>21</v>
      </c>
      <c r="BX62" s="31">
        <v>40575</v>
      </c>
      <c r="BY62" s="9">
        <v>0</v>
      </c>
      <c r="BZ62" s="67" t="e">
        <f>IF(BW62&lt;'DADOS DOS EMPREENDIMENTOS'!BY$11,0,IF(BW62='DADOS DOS EMPREENDIMENTOS'!BY$11,SUM(BY$41:BY62)*(1-'DADOS DOS EMPREENDIMENTOS'!#REF!-'DADOS DOS EMPREENDIMENTOS'!#REF!)+'DADOS DOS EMPREENDIMENTOS'!#REF!,IF(BW62='DADOS DOS EMPREENDIMENTOS'!BY$12,'DADOS DOS EMPREENDIMENTOS'!#REF!,BY62*(1-'DADOS DOS EMPREENDIMENTOS'!#REF!-'DADOS DOS EMPREENDIMENTOS'!#REF!))))</f>
        <v>#REF!</v>
      </c>
      <c r="CB62" s="52">
        <v>21</v>
      </c>
      <c r="CC62" s="31">
        <v>40575</v>
      </c>
      <c r="CD62" s="9">
        <v>0</v>
      </c>
      <c r="CE62" s="67" t="e">
        <f>IF(CB62&lt;'DADOS DOS EMPREENDIMENTOS'!CD$11,0,IF(CB62='DADOS DOS EMPREENDIMENTOS'!CD$11,SUM(CD$41:CD62)*(1-'DADOS DOS EMPREENDIMENTOS'!#REF!-'DADOS DOS EMPREENDIMENTOS'!#REF!)+'DADOS DOS EMPREENDIMENTOS'!#REF!,IF(CB62='DADOS DOS EMPREENDIMENTOS'!CD$12,'DADOS DOS EMPREENDIMENTOS'!#REF!,CD62*(1-'DADOS DOS EMPREENDIMENTOS'!#REF!-'DADOS DOS EMPREENDIMENTOS'!#REF!))))</f>
        <v>#REF!</v>
      </c>
      <c r="CG62" s="52"/>
      <c r="CH62" s="31"/>
      <c r="CI62" s="9"/>
      <c r="CJ62" s="67"/>
    </row>
    <row r="63" spans="15:88" ht="12.75" customHeight="1" thickBot="1" x14ac:dyDescent="0.25">
      <c r="O63" s="45">
        <v>48</v>
      </c>
      <c r="P63" s="640" t="s">
        <v>363</v>
      </c>
      <c r="Q63" s="677">
        <f>VLOOKUP(P63,Apoio!C:E,2,0)</f>
        <v>245940</v>
      </c>
      <c r="R63" s="641" t="s">
        <v>316</v>
      </c>
      <c r="S63" s="378">
        <v>5</v>
      </c>
      <c r="T63" s="52">
        <v>22</v>
      </c>
      <c r="U63" s="31"/>
      <c r="V63" s="9"/>
      <c r="W63" s="67"/>
      <c r="Y63" s="52">
        <v>22</v>
      </c>
      <c r="Z63" s="31"/>
      <c r="AA63" s="9"/>
      <c r="AB63" s="67"/>
      <c r="AD63" s="52">
        <v>22</v>
      </c>
      <c r="AE63" s="31">
        <v>40603</v>
      </c>
      <c r="AF63" s="9">
        <v>0</v>
      </c>
      <c r="AG63" s="67" t="e">
        <f>IF(AD63&lt;'DADOS DOS EMPREENDIMENTOS'!AF$11,0,IF(AD63='DADOS DOS EMPREENDIMENTOS'!AF$11,SUM(AF$41:AF63)*(1-'DADOS DOS EMPREENDIMENTOS'!#REF!-'DADOS DOS EMPREENDIMENTOS'!#REF!)+'DADOS DOS EMPREENDIMENTOS'!#REF!,IF(AD63='DADOS DOS EMPREENDIMENTOS'!#REF!,'DADOS DOS EMPREENDIMENTOS'!#REF!,AF63*(1-'DADOS DOS EMPREENDIMENTOS'!#REF!-'DADOS DOS EMPREENDIMENTOS'!#REF!))))</f>
        <v>#REF!</v>
      </c>
      <c r="AI63" s="52">
        <v>22</v>
      </c>
      <c r="AJ63" s="31">
        <v>40603</v>
      </c>
      <c r="AK63" s="9">
        <v>0</v>
      </c>
      <c r="AL63" s="67" t="e">
        <f>IF(AI63&lt;'DADOS DOS EMPREENDIMENTOS'!AK$11,0,IF(AI63='DADOS DOS EMPREENDIMENTOS'!AK$11,SUM(AK$41:AK63)*(1-'DADOS DOS EMPREENDIMENTOS'!#REF!-'DADOS DOS EMPREENDIMENTOS'!#REF!)+'DADOS DOS EMPREENDIMENTOS'!#REF!,IF(AI63='DADOS DOS EMPREENDIMENTOS'!#REF!,'DADOS DOS EMPREENDIMENTOS'!#REF!,AK63*(1-'DADOS DOS EMPREENDIMENTOS'!#REF!-'DADOS DOS EMPREENDIMENTOS'!#REF!))))</f>
        <v>#REF!</v>
      </c>
      <c r="AN63" s="52">
        <v>22</v>
      </c>
      <c r="AO63" s="31">
        <v>40603</v>
      </c>
      <c r="AP63" s="9">
        <v>0</v>
      </c>
      <c r="AQ63" s="67" t="e">
        <f>IF(AN63&lt;'DADOS DOS EMPREENDIMENTOS'!AP$11,0,IF(AN63='DADOS DOS EMPREENDIMENTOS'!AP$11,SUM(AP$41:AP63)*(1-'DADOS DOS EMPREENDIMENTOS'!#REF!-'DADOS DOS EMPREENDIMENTOS'!#REF!)+'DADOS DOS EMPREENDIMENTOS'!#REF!,IF(AN63='DADOS DOS EMPREENDIMENTOS'!#REF!,'DADOS DOS EMPREENDIMENTOS'!#REF!,AP63*(1-'DADOS DOS EMPREENDIMENTOS'!#REF!-'DADOS DOS EMPREENDIMENTOS'!#REF!))))</f>
        <v>#REF!</v>
      </c>
      <c r="AS63" s="52">
        <v>22</v>
      </c>
      <c r="AT63" s="31">
        <v>40603</v>
      </c>
      <c r="AU63" s="9">
        <v>0</v>
      </c>
      <c r="AV63" s="67" t="e">
        <f>IF(AS63&lt;'DADOS DOS EMPREENDIMENTOS'!AU$11,0,IF(AS63='DADOS DOS EMPREENDIMENTOS'!AU$11,SUM(AU$41:AU63)*(1-'DADOS DOS EMPREENDIMENTOS'!#REF!-'DADOS DOS EMPREENDIMENTOS'!#REF!)+'DADOS DOS EMPREENDIMENTOS'!#REF!,IF(AS63='DADOS DOS EMPREENDIMENTOS'!#REF!,'DADOS DOS EMPREENDIMENTOS'!#REF!,AU63*(1-'DADOS DOS EMPREENDIMENTOS'!#REF!-'DADOS DOS EMPREENDIMENTOS'!#REF!))))</f>
        <v>#REF!</v>
      </c>
      <c r="AX63" s="52">
        <v>22</v>
      </c>
      <c r="AY63" s="31">
        <v>40603</v>
      </c>
      <c r="AZ63" s="9">
        <v>0</v>
      </c>
      <c r="BA63" s="67" t="e">
        <f>IF(AX63&lt;'DADOS DOS EMPREENDIMENTOS'!AZ$11,0,IF(AX63='DADOS DOS EMPREENDIMENTOS'!AZ$11,SUM(AZ$41:AZ63)*(1-'DADOS DOS EMPREENDIMENTOS'!#REF!-'DADOS DOS EMPREENDIMENTOS'!#REF!)+'DADOS DOS EMPREENDIMENTOS'!#REF!,IF(AX63='DADOS DOS EMPREENDIMENTOS'!#REF!,'DADOS DOS EMPREENDIMENTOS'!#REF!,AZ63*(1-'DADOS DOS EMPREENDIMENTOS'!#REF!-'DADOS DOS EMPREENDIMENTOS'!#REF!))))</f>
        <v>#REF!</v>
      </c>
      <c r="BC63" s="52">
        <v>22</v>
      </c>
      <c r="BD63" s="31">
        <v>40603</v>
      </c>
      <c r="BE63" s="9">
        <v>0</v>
      </c>
      <c r="BF63" s="67" t="e">
        <f>IF(BC63&lt;'DADOS DOS EMPREENDIMENTOS'!BE$11,0,IF(BC63='DADOS DOS EMPREENDIMENTOS'!BE$11,SUM(BE$41:BE63)*(1-'DADOS DOS EMPREENDIMENTOS'!#REF!-'DADOS DOS EMPREENDIMENTOS'!#REF!)+'DADOS DOS EMPREENDIMENTOS'!#REF!,IF(BC63='DADOS DOS EMPREENDIMENTOS'!#REF!,'DADOS DOS EMPREENDIMENTOS'!#REF!,BE63*(1-'DADOS DOS EMPREENDIMENTOS'!#REF!-'DADOS DOS EMPREENDIMENTOS'!#REF!))))</f>
        <v>#REF!</v>
      </c>
      <c r="BH63" s="52">
        <v>22</v>
      </c>
      <c r="BI63" s="31">
        <v>40603</v>
      </c>
      <c r="BJ63" s="9">
        <v>0</v>
      </c>
      <c r="BK63" s="67" t="e">
        <f>IF(BH63&lt;'DADOS DOS EMPREENDIMENTOS'!BJ$11,0,IF(BH63='DADOS DOS EMPREENDIMENTOS'!BJ$11,SUM(BJ$41:BJ63)*(1-'DADOS DOS EMPREENDIMENTOS'!#REF!-'DADOS DOS EMPREENDIMENTOS'!#REF!)+'DADOS DOS EMPREENDIMENTOS'!#REF!,IF(BH63='DADOS DOS EMPREENDIMENTOS'!#REF!,'DADOS DOS EMPREENDIMENTOS'!#REF!,BJ63*(1-'DADOS DOS EMPREENDIMENTOS'!#REF!-'DADOS DOS EMPREENDIMENTOS'!#REF!))))</f>
        <v>#REF!</v>
      </c>
      <c r="BM63" s="52">
        <v>22</v>
      </c>
      <c r="BN63" s="31">
        <v>40603</v>
      </c>
      <c r="BO63" s="9">
        <v>0</v>
      </c>
      <c r="BP63" s="67" t="e">
        <f>IF(BM63&lt;'DADOS DOS EMPREENDIMENTOS'!BO$11,0,IF(BM63='DADOS DOS EMPREENDIMENTOS'!BO$11,SUM(BO$41:BO63)*(1-'DADOS DOS EMPREENDIMENTOS'!#REF!-'DADOS DOS EMPREENDIMENTOS'!#REF!)+'DADOS DOS EMPREENDIMENTOS'!#REF!,IF(BM63='DADOS DOS EMPREENDIMENTOS'!BO$12,'DADOS DOS EMPREENDIMENTOS'!#REF!,BO63*(1-'DADOS DOS EMPREENDIMENTOS'!#REF!-'DADOS DOS EMPREENDIMENTOS'!#REF!))))</f>
        <v>#REF!</v>
      </c>
      <c r="BR63" s="52">
        <v>22</v>
      </c>
      <c r="BS63" s="31">
        <v>40603</v>
      </c>
      <c r="BT63" s="9">
        <v>0</v>
      </c>
      <c r="BU63" s="67" t="e">
        <f>IF(BR63&lt;'DADOS DOS EMPREENDIMENTOS'!BT$11,0,IF(BR63='DADOS DOS EMPREENDIMENTOS'!BT$11,SUM(BT$41:BT63)*(1-'DADOS DOS EMPREENDIMENTOS'!#REF!-'DADOS DOS EMPREENDIMENTOS'!#REF!)+'DADOS DOS EMPREENDIMENTOS'!#REF!,IF(BR63='DADOS DOS EMPREENDIMENTOS'!BT$12,'DADOS DOS EMPREENDIMENTOS'!#REF!,BT63*(1-'DADOS DOS EMPREENDIMENTOS'!#REF!-'DADOS DOS EMPREENDIMENTOS'!#REF!))))</f>
        <v>#REF!</v>
      </c>
      <c r="BW63" s="52">
        <v>22</v>
      </c>
      <c r="BX63" s="31">
        <v>40603</v>
      </c>
      <c r="BY63" s="9">
        <v>0</v>
      </c>
      <c r="BZ63" s="67" t="e">
        <f>IF(BW63&lt;'DADOS DOS EMPREENDIMENTOS'!BY$11,0,IF(BW63='DADOS DOS EMPREENDIMENTOS'!BY$11,SUM(BY$41:BY63)*(1-'DADOS DOS EMPREENDIMENTOS'!#REF!-'DADOS DOS EMPREENDIMENTOS'!#REF!)+'DADOS DOS EMPREENDIMENTOS'!#REF!,IF(BW63='DADOS DOS EMPREENDIMENTOS'!BY$12,'DADOS DOS EMPREENDIMENTOS'!#REF!,BY63*(1-'DADOS DOS EMPREENDIMENTOS'!#REF!-'DADOS DOS EMPREENDIMENTOS'!#REF!))))</f>
        <v>#REF!</v>
      </c>
      <c r="CB63" s="52">
        <v>22</v>
      </c>
      <c r="CC63" s="31">
        <v>40603</v>
      </c>
      <c r="CD63" s="9">
        <v>0</v>
      </c>
      <c r="CE63" s="67" t="e">
        <f>IF(CB63&lt;'DADOS DOS EMPREENDIMENTOS'!CD$11,0,IF(CB63='DADOS DOS EMPREENDIMENTOS'!CD$11,SUM(CD$41:CD63)*(1-'DADOS DOS EMPREENDIMENTOS'!#REF!-'DADOS DOS EMPREENDIMENTOS'!#REF!)+'DADOS DOS EMPREENDIMENTOS'!#REF!,IF(CB63='DADOS DOS EMPREENDIMENTOS'!CD$12,'DADOS DOS EMPREENDIMENTOS'!#REF!,CD63*(1-'DADOS DOS EMPREENDIMENTOS'!#REF!-'DADOS DOS EMPREENDIMENTOS'!#REF!))))</f>
        <v>#REF!</v>
      </c>
      <c r="CG63" s="52"/>
      <c r="CH63" s="31"/>
      <c r="CI63" s="9"/>
      <c r="CJ63" s="67"/>
    </row>
    <row r="64" spans="15:88" ht="12.75" customHeight="1" thickBot="1" x14ac:dyDescent="0.25">
      <c r="O64" s="43">
        <v>49</v>
      </c>
      <c r="P64" s="640" t="s">
        <v>364</v>
      </c>
      <c r="Q64" s="677">
        <f>VLOOKUP(P64,Apoio!C:E,2,0)</f>
        <v>245940</v>
      </c>
      <c r="R64" s="641" t="s">
        <v>316</v>
      </c>
      <c r="S64" s="378">
        <v>5</v>
      </c>
      <c r="T64" s="52">
        <v>23</v>
      </c>
      <c r="U64" s="31"/>
      <c r="V64" s="9"/>
      <c r="W64" s="67"/>
      <c r="Y64" s="52">
        <v>23</v>
      </c>
      <c r="Z64" s="31"/>
      <c r="AA64" s="9"/>
      <c r="AB64" s="67"/>
      <c r="AD64" s="52">
        <v>23</v>
      </c>
      <c r="AE64" s="31">
        <v>40634</v>
      </c>
      <c r="AF64" s="9">
        <v>0</v>
      </c>
      <c r="AG64" s="67" t="e">
        <f>IF(AD64&lt;'DADOS DOS EMPREENDIMENTOS'!AF$11,0,IF(AD64='DADOS DOS EMPREENDIMENTOS'!AF$11,SUM(AF$41:AF64)*(1-'DADOS DOS EMPREENDIMENTOS'!#REF!-'DADOS DOS EMPREENDIMENTOS'!#REF!)+'DADOS DOS EMPREENDIMENTOS'!#REF!,IF(AD64='DADOS DOS EMPREENDIMENTOS'!#REF!,'DADOS DOS EMPREENDIMENTOS'!#REF!,AF64*(1-'DADOS DOS EMPREENDIMENTOS'!#REF!-'DADOS DOS EMPREENDIMENTOS'!#REF!))))</f>
        <v>#REF!</v>
      </c>
      <c r="AI64" s="52">
        <v>23</v>
      </c>
      <c r="AJ64" s="31">
        <v>40634</v>
      </c>
      <c r="AK64" s="9">
        <v>0</v>
      </c>
      <c r="AL64" s="67" t="e">
        <f>IF(AI64&lt;'DADOS DOS EMPREENDIMENTOS'!AK$11,0,IF(AI64='DADOS DOS EMPREENDIMENTOS'!AK$11,SUM(AK$41:AK64)*(1-'DADOS DOS EMPREENDIMENTOS'!#REF!-'DADOS DOS EMPREENDIMENTOS'!#REF!)+'DADOS DOS EMPREENDIMENTOS'!#REF!,IF(AI64='DADOS DOS EMPREENDIMENTOS'!#REF!,'DADOS DOS EMPREENDIMENTOS'!#REF!,AK64*(1-'DADOS DOS EMPREENDIMENTOS'!#REF!-'DADOS DOS EMPREENDIMENTOS'!#REF!))))</f>
        <v>#REF!</v>
      </c>
      <c r="AN64" s="52">
        <v>23</v>
      </c>
      <c r="AO64" s="31">
        <v>40634</v>
      </c>
      <c r="AP64" s="9">
        <v>0</v>
      </c>
      <c r="AQ64" s="67" t="e">
        <f>IF(AN64&lt;'DADOS DOS EMPREENDIMENTOS'!AP$11,0,IF(AN64='DADOS DOS EMPREENDIMENTOS'!AP$11,SUM(AP$41:AP64)*(1-'DADOS DOS EMPREENDIMENTOS'!#REF!-'DADOS DOS EMPREENDIMENTOS'!#REF!)+'DADOS DOS EMPREENDIMENTOS'!#REF!,IF(AN64='DADOS DOS EMPREENDIMENTOS'!#REF!,'DADOS DOS EMPREENDIMENTOS'!#REF!,AP64*(1-'DADOS DOS EMPREENDIMENTOS'!#REF!-'DADOS DOS EMPREENDIMENTOS'!#REF!))))</f>
        <v>#REF!</v>
      </c>
      <c r="AS64" s="52">
        <v>23</v>
      </c>
      <c r="AT64" s="31">
        <v>40634</v>
      </c>
      <c r="AU64" s="9">
        <v>0</v>
      </c>
      <c r="AV64" s="67" t="e">
        <f>IF(AS64&lt;'DADOS DOS EMPREENDIMENTOS'!AU$11,0,IF(AS64='DADOS DOS EMPREENDIMENTOS'!AU$11,SUM(AU$41:AU64)*(1-'DADOS DOS EMPREENDIMENTOS'!#REF!-'DADOS DOS EMPREENDIMENTOS'!#REF!)+'DADOS DOS EMPREENDIMENTOS'!#REF!,IF(AS64='DADOS DOS EMPREENDIMENTOS'!#REF!,'DADOS DOS EMPREENDIMENTOS'!#REF!,AU64*(1-'DADOS DOS EMPREENDIMENTOS'!#REF!-'DADOS DOS EMPREENDIMENTOS'!#REF!))))</f>
        <v>#REF!</v>
      </c>
      <c r="AX64" s="52">
        <v>23</v>
      </c>
      <c r="AY64" s="31">
        <v>40634</v>
      </c>
      <c r="AZ64" s="9">
        <v>0</v>
      </c>
      <c r="BA64" s="67" t="e">
        <f>IF(AX64&lt;'DADOS DOS EMPREENDIMENTOS'!AZ$11,0,IF(AX64='DADOS DOS EMPREENDIMENTOS'!AZ$11,SUM(AZ$41:AZ64)*(1-'DADOS DOS EMPREENDIMENTOS'!#REF!-'DADOS DOS EMPREENDIMENTOS'!#REF!)+'DADOS DOS EMPREENDIMENTOS'!#REF!,IF(AX64='DADOS DOS EMPREENDIMENTOS'!#REF!,'DADOS DOS EMPREENDIMENTOS'!#REF!,AZ64*(1-'DADOS DOS EMPREENDIMENTOS'!#REF!-'DADOS DOS EMPREENDIMENTOS'!#REF!))))</f>
        <v>#REF!</v>
      </c>
      <c r="BC64" s="52">
        <v>23</v>
      </c>
      <c r="BD64" s="31">
        <v>40634</v>
      </c>
      <c r="BE64" s="9">
        <v>0</v>
      </c>
      <c r="BF64" s="67" t="e">
        <f>IF(BC64&lt;'DADOS DOS EMPREENDIMENTOS'!BE$11,0,IF(BC64='DADOS DOS EMPREENDIMENTOS'!BE$11,SUM(BE$41:BE64)*(1-'DADOS DOS EMPREENDIMENTOS'!#REF!-'DADOS DOS EMPREENDIMENTOS'!#REF!)+'DADOS DOS EMPREENDIMENTOS'!#REF!,IF(BC64='DADOS DOS EMPREENDIMENTOS'!#REF!,'DADOS DOS EMPREENDIMENTOS'!#REF!,BE64*(1-'DADOS DOS EMPREENDIMENTOS'!#REF!-'DADOS DOS EMPREENDIMENTOS'!#REF!))))</f>
        <v>#REF!</v>
      </c>
      <c r="BH64" s="52">
        <v>23</v>
      </c>
      <c r="BI64" s="31">
        <v>40634</v>
      </c>
      <c r="BJ64" s="9">
        <v>0</v>
      </c>
      <c r="BK64" s="67" t="e">
        <f>IF(BH64&lt;'DADOS DOS EMPREENDIMENTOS'!BJ$11,0,IF(BH64='DADOS DOS EMPREENDIMENTOS'!BJ$11,SUM(BJ$41:BJ64)*(1-'DADOS DOS EMPREENDIMENTOS'!#REF!-'DADOS DOS EMPREENDIMENTOS'!#REF!)+'DADOS DOS EMPREENDIMENTOS'!#REF!,IF(BH64='DADOS DOS EMPREENDIMENTOS'!#REF!,'DADOS DOS EMPREENDIMENTOS'!#REF!,BJ64*(1-'DADOS DOS EMPREENDIMENTOS'!#REF!-'DADOS DOS EMPREENDIMENTOS'!#REF!))))</f>
        <v>#REF!</v>
      </c>
      <c r="BM64" s="52">
        <v>23</v>
      </c>
      <c r="BN64" s="31">
        <v>40634</v>
      </c>
      <c r="BO64" s="9">
        <v>0</v>
      </c>
      <c r="BP64" s="67" t="e">
        <f>IF(BM64&lt;'DADOS DOS EMPREENDIMENTOS'!BO$11,0,IF(BM64='DADOS DOS EMPREENDIMENTOS'!BO$11,SUM(BO$41:BO64)*(1-'DADOS DOS EMPREENDIMENTOS'!#REF!-'DADOS DOS EMPREENDIMENTOS'!#REF!)+'DADOS DOS EMPREENDIMENTOS'!#REF!,IF(BM64='DADOS DOS EMPREENDIMENTOS'!BO$12,'DADOS DOS EMPREENDIMENTOS'!#REF!,BO64*(1-'DADOS DOS EMPREENDIMENTOS'!#REF!-'DADOS DOS EMPREENDIMENTOS'!#REF!))))</f>
        <v>#REF!</v>
      </c>
      <c r="BR64" s="52">
        <v>23</v>
      </c>
      <c r="BS64" s="31">
        <v>40634</v>
      </c>
      <c r="BT64" s="9">
        <v>0</v>
      </c>
      <c r="BU64" s="67" t="e">
        <f>IF(BR64&lt;'DADOS DOS EMPREENDIMENTOS'!BT$11,0,IF(BR64='DADOS DOS EMPREENDIMENTOS'!BT$11,SUM(BT$41:BT64)*(1-'DADOS DOS EMPREENDIMENTOS'!#REF!-'DADOS DOS EMPREENDIMENTOS'!#REF!)+'DADOS DOS EMPREENDIMENTOS'!#REF!,IF(BR64='DADOS DOS EMPREENDIMENTOS'!BT$12,'DADOS DOS EMPREENDIMENTOS'!#REF!,BT64*(1-'DADOS DOS EMPREENDIMENTOS'!#REF!-'DADOS DOS EMPREENDIMENTOS'!#REF!))))</f>
        <v>#REF!</v>
      </c>
      <c r="BW64" s="52">
        <v>23</v>
      </c>
      <c r="BX64" s="31">
        <v>40634</v>
      </c>
      <c r="BY64" s="9">
        <v>0</v>
      </c>
      <c r="BZ64" s="67" t="e">
        <f>IF(BW64&lt;'DADOS DOS EMPREENDIMENTOS'!BY$11,0,IF(BW64='DADOS DOS EMPREENDIMENTOS'!BY$11,SUM(BY$41:BY64)*(1-'DADOS DOS EMPREENDIMENTOS'!#REF!-'DADOS DOS EMPREENDIMENTOS'!#REF!)+'DADOS DOS EMPREENDIMENTOS'!#REF!,IF(BW64='DADOS DOS EMPREENDIMENTOS'!BY$12,'DADOS DOS EMPREENDIMENTOS'!#REF!,BY64*(1-'DADOS DOS EMPREENDIMENTOS'!#REF!-'DADOS DOS EMPREENDIMENTOS'!#REF!))))</f>
        <v>#REF!</v>
      </c>
      <c r="CB64" s="52">
        <v>23</v>
      </c>
      <c r="CC64" s="31">
        <v>40634</v>
      </c>
      <c r="CD64" s="9">
        <v>0</v>
      </c>
      <c r="CE64" s="67" t="e">
        <f>IF(CB64&lt;'DADOS DOS EMPREENDIMENTOS'!CD$11,0,IF(CB64='DADOS DOS EMPREENDIMENTOS'!CD$11,SUM(CD$41:CD64)*(1-'DADOS DOS EMPREENDIMENTOS'!#REF!-'DADOS DOS EMPREENDIMENTOS'!#REF!)+'DADOS DOS EMPREENDIMENTOS'!#REF!,IF(CB64='DADOS DOS EMPREENDIMENTOS'!CD$12,'DADOS DOS EMPREENDIMENTOS'!#REF!,CD64*(1-'DADOS DOS EMPREENDIMENTOS'!#REF!-'DADOS DOS EMPREENDIMENTOS'!#REF!))))</f>
        <v>#REF!</v>
      </c>
      <c r="CG64" s="52"/>
      <c r="CH64" s="31"/>
      <c r="CI64" s="9"/>
      <c r="CJ64" s="67"/>
    </row>
    <row r="65" spans="15:88" ht="12.75" customHeight="1" thickBot="1" x14ac:dyDescent="0.25">
      <c r="O65" s="45">
        <v>50</v>
      </c>
      <c r="P65" s="640" t="s">
        <v>365</v>
      </c>
      <c r="Q65" s="677">
        <f>VLOOKUP(P65,Apoio!C:E,2,0)</f>
        <v>246040</v>
      </c>
      <c r="R65" s="641" t="s">
        <v>316</v>
      </c>
      <c r="S65" s="378">
        <v>5</v>
      </c>
      <c r="T65" s="52">
        <v>24</v>
      </c>
      <c r="U65" s="31"/>
      <c r="V65" s="9"/>
      <c r="W65" s="67"/>
      <c r="Y65" s="52">
        <v>24</v>
      </c>
      <c r="Z65" s="31"/>
      <c r="AA65" s="9"/>
      <c r="AB65" s="67"/>
      <c r="AD65" s="52">
        <v>24</v>
      </c>
      <c r="AE65" s="31">
        <v>40664</v>
      </c>
      <c r="AF65" s="9">
        <v>0</v>
      </c>
      <c r="AG65" s="67" t="e">
        <f>IF(AD65&lt;'DADOS DOS EMPREENDIMENTOS'!AF$11,0,IF(AD65='DADOS DOS EMPREENDIMENTOS'!AF$11,SUM(AF$41:AF65)*(1-'DADOS DOS EMPREENDIMENTOS'!#REF!-'DADOS DOS EMPREENDIMENTOS'!#REF!)+'DADOS DOS EMPREENDIMENTOS'!#REF!,IF(AD65='DADOS DOS EMPREENDIMENTOS'!#REF!,'DADOS DOS EMPREENDIMENTOS'!#REF!,AF65*(1-'DADOS DOS EMPREENDIMENTOS'!#REF!-'DADOS DOS EMPREENDIMENTOS'!#REF!))))</f>
        <v>#REF!</v>
      </c>
      <c r="AI65" s="52">
        <v>24</v>
      </c>
      <c r="AJ65" s="31">
        <v>40664</v>
      </c>
      <c r="AK65" s="9">
        <v>0</v>
      </c>
      <c r="AL65" s="67" t="e">
        <f>IF(AI65&lt;'DADOS DOS EMPREENDIMENTOS'!AK$11,0,IF(AI65='DADOS DOS EMPREENDIMENTOS'!AK$11,SUM(AK$41:AK65)*(1-'DADOS DOS EMPREENDIMENTOS'!#REF!-'DADOS DOS EMPREENDIMENTOS'!#REF!)+'DADOS DOS EMPREENDIMENTOS'!#REF!,IF(AI65='DADOS DOS EMPREENDIMENTOS'!#REF!,'DADOS DOS EMPREENDIMENTOS'!#REF!,AK65*(1-'DADOS DOS EMPREENDIMENTOS'!#REF!-'DADOS DOS EMPREENDIMENTOS'!#REF!))))</f>
        <v>#REF!</v>
      </c>
      <c r="AN65" s="52">
        <v>24</v>
      </c>
      <c r="AO65" s="31">
        <v>40664</v>
      </c>
      <c r="AP65" s="9">
        <v>0</v>
      </c>
      <c r="AQ65" s="67" t="e">
        <f>IF(AN65&lt;'DADOS DOS EMPREENDIMENTOS'!AP$11,0,IF(AN65='DADOS DOS EMPREENDIMENTOS'!AP$11,SUM(AP$41:AP65)*(1-'DADOS DOS EMPREENDIMENTOS'!#REF!-'DADOS DOS EMPREENDIMENTOS'!#REF!)+'DADOS DOS EMPREENDIMENTOS'!#REF!,IF(AN65='DADOS DOS EMPREENDIMENTOS'!#REF!,'DADOS DOS EMPREENDIMENTOS'!#REF!,AP65*(1-'DADOS DOS EMPREENDIMENTOS'!#REF!-'DADOS DOS EMPREENDIMENTOS'!#REF!))))</f>
        <v>#REF!</v>
      </c>
      <c r="AS65" s="52">
        <v>24</v>
      </c>
      <c r="AT65" s="31">
        <v>40664</v>
      </c>
      <c r="AU65" s="9">
        <v>0</v>
      </c>
      <c r="AV65" s="67" t="e">
        <f>IF(AS65&lt;'DADOS DOS EMPREENDIMENTOS'!AU$11,0,IF(AS65='DADOS DOS EMPREENDIMENTOS'!AU$11,SUM(AU$41:AU65)*(1-'DADOS DOS EMPREENDIMENTOS'!#REF!-'DADOS DOS EMPREENDIMENTOS'!#REF!)+'DADOS DOS EMPREENDIMENTOS'!#REF!,IF(AS65='DADOS DOS EMPREENDIMENTOS'!#REF!,'DADOS DOS EMPREENDIMENTOS'!#REF!,AU65*(1-'DADOS DOS EMPREENDIMENTOS'!#REF!-'DADOS DOS EMPREENDIMENTOS'!#REF!))))</f>
        <v>#REF!</v>
      </c>
      <c r="AX65" s="52">
        <v>24</v>
      </c>
      <c r="AY65" s="31">
        <v>40664</v>
      </c>
      <c r="AZ65" s="9">
        <v>0</v>
      </c>
      <c r="BA65" s="67" t="e">
        <f>IF(AX65&lt;'DADOS DOS EMPREENDIMENTOS'!AZ$11,0,IF(AX65='DADOS DOS EMPREENDIMENTOS'!AZ$11,SUM(AZ$41:AZ65)*(1-'DADOS DOS EMPREENDIMENTOS'!#REF!-'DADOS DOS EMPREENDIMENTOS'!#REF!)+'DADOS DOS EMPREENDIMENTOS'!#REF!,IF(AX65='DADOS DOS EMPREENDIMENTOS'!#REF!,'DADOS DOS EMPREENDIMENTOS'!#REF!,AZ65*(1-'DADOS DOS EMPREENDIMENTOS'!#REF!-'DADOS DOS EMPREENDIMENTOS'!#REF!))))</f>
        <v>#REF!</v>
      </c>
      <c r="BC65" s="52">
        <v>24</v>
      </c>
      <c r="BD65" s="31">
        <v>40664</v>
      </c>
      <c r="BE65" s="9">
        <v>0</v>
      </c>
      <c r="BF65" s="67" t="e">
        <f>IF(BC65&lt;'DADOS DOS EMPREENDIMENTOS'!BE$11,0,IF(BC65='DADOS DOS EMPREENDIMENTOS'!BE$11,SUM(BE$41:BE65)*(1-'DADOS DOS EMPREENDIMENTOS'!#REF!-'DADOS DOS EMPREENDIMENTOS'!#REF!)+'DADOS DOS EMPREENDIMENTOS'!#REF!,IF(BC65='DADOS DOS EMPREENDIMENTOS'!#REF!,'DADOS DOS EMPREENDIMENTOS'!#REF!,BE65*(1-'DADOS DOS EMPREENDIMENTOS'!#REF!-'DADOS DOS EMPREENDIMENTOS'!#REF!))))</f>
        <v>#REF!</v>
      </c>
      <c r="BH65" s="52">
        <v>24</v>
      </c>
      <c r="BI65" s="31">
        <v>40664</v>
      </c>
      <c r="BJ65" s="9">
        <v>0</v>
      </c>
      <c r="BK65" s="67" t="e">
        <f>IF(BH65&lt;'DADOS DOS EMPREENDIMENTOS'!BJ$11,0,IF(BH65='DADOS DOS EMPREENDIMENTOS'!BJ$11,SUM(BJ$41:BJ65)*(1-'DADOS DOS EMPREENDIMENTOS'!#REF!-'DADOS DOS EMPREENDIMENTOS'!#REF!)+'DADOS DOS EMPREENDIMENTOS'!#REF!,IF(BH65='DADOS DOS EMPREENDIMENTOS'!#REF!,'DADOS DOS EMPREENDIMENTOS'!#REF!,BJ65*(1-'DADOS DOS EMPREENDIMENTOS'!#REF!-'DADOS DOS EMPREENDIMENTOS'!#REF!))))</f>
        <v>#REF!</v>
      </c>
      <c r="BM65" s="52">
        <v>24</v>
      </c>
      <c r="BN65" s="31">
        <v>40664</v>
      </c>
      <c r="BO65" s="9">
        <v>0</v>
      </c>
      <c r="BP65" s="67" t="e">
        <f>IF(BM65&lt;'DADOS DOS EMPREENDIMENTOS'!BO$11,0,IF(BM65='DADOS DOS EMPREENDIMENTOS'!BO$11,SUM(BO$41:BO65)*(1-'DADOS DOS EMPREENDIMENTOS'!#REF!-'DADOS DOS EMPREENDIMENTOS'!#REF!)+'DADOS DOS EMPREENDIMENTOS'!#REF!,IF(BM65='DADOS DOS EMPREENDIMENTOS'!BO$12,'DADOS DOS EMPREENDIMENTOS'!#REF!,BO65*(1-'DADOS DOS EMPREENDIMENTOS'!#REF!-'DADOS DOS EMPREENDIMENTOS'!#REF!))))</f>
        <v>#REF!</v>
      </c>
      <c r="BR65" s="52">
        <v>24</v>
      </c>
      <c r="BS65" s="31">
        <v>40664</v>
      </c>
      <c r="BT65" s="9">
        <v>0</v>
      </c>
      <c r="BU65" s="67" t="e">
        <f>IF(BR65&lt;'DADOS DOS EMPREENDIMENTOS'!BT$11,0,IF(BR65='DADOS DOS EMPREENDIMENTOS'!BT$11,SUM(BT$41:BT65)*(1-'DADOS DOS EMPREENDIMENTOS'!#REF!-'DADOS DOS EMPREENDIMENTOS'!#REF!)+'DADOS DOS EMPREENDIMENTOS'!#REF!,IF(BR65='DADOS DOS EMPREENDIMENTOS'!BT$12,'DADOS DOS EMPREENDIMENTOS'!#REF!,BT65*(1-'DADOS DOS EMPREENDIMENTOS'!#REF!-'DADOS DOS EMPREENDIMENTOS'!#REF!))))</f>
        <v>#REF!</v>
      </c>
      <c r="BW65" s="52">
        <v>24</v>
      </c>
      <c r="BX65" s="31">
        <v>40664</v>
      </c>
      <c r="BY65" s="9">
        <v>0</v>
      </c>
      <c r="BZ65" s="67" t="e">
        <f>IF(BW65&lt;'DADOS DOS EMPREENDIMENTOS'!BY$11,0,IF(BW65='DADOS DOS EMPREENDIMENTOS'!BY$11,SUM(BY$41:BY65)*(1-'DADOS DOS EMPREENDIMENTOS'!#REF!-'DADOS DOS EMPREENDIMENTOS'!#REF!)+'DADOS DOS EMPREENDIMENTOS'!#REF!,IF(BW65='DADOS DOS EMPREENDIMENTOS'!BY$12,'DADOS DOS EMPREENDIMENTOS'!#REF!,BY65*(1-'DADOS DOS EMPREENDIMENTOS'!#REF!-'DADOS DOS EMPREENDIMENTOS'!#REF!))))</f>
        <v>#REF!</v>
      </c>
      <c r="CB65" s="52">
        <v>24</v>
      </c>
      <c r="CC65" s="31">
        <v>40664</v>
      </c>
      <c r="CD65" s="9">
        <v>0</v>
      </c>
      <c r="CE65" s="67" t="e">
        <f>IF(CB65&lt;'DADOS DOS EMPREENDIMENTOS'!CD$11,0,IF(CB65='DADOS DOS EMPREENDIMENTOS'!CD$11,SUM(CD$41:CD65)*(1-'DADOS DOS EMPREENDIMENTOS'!#REF!-'DADOS DOS EMPREENDIMENTOS'!#REF!)+'DADOS DOS EMPREENDIMENTOS'!#REF!,IF(CB65='DADOS DOS EMPREENDIMENTOS'!CD$12,'DADOS DOS EMPREENDIMENTOS'!#REF!,CD65*(1-'DADOS DOS EMPREENDIMENTOS'!#REF!-'DADOS DOS EMPREENDIMENTOS'!#REF!))))</f>
        <v>#REF!</v>
      </c>
      <c r="CG65" s="52"/>
      <c r="CH65" s="31"/>
      <c r="CI65" s="9"/>
      <c r="CJ65" s="67"/>
    </row>
    <row r="66" spans="15:88" ht="12.75" customHeight="1" thickBot="1" x14ac:dyDescent="0.25">
      <c r="O66" s="43">
        <v>51</v>
      </c>
      <c r="P66" s="640" t="s">
        <v>366</v>
      </c>
      <c r="Q66" s="677">
        <f>VLOOKUP(P66,Apoio!C:E,2,0)</f>
        <v>246040</v>
      </c>
      <c r="R66" s="641" t="s">
        <v>316</v>
      </c>
      <c r="S66" s="378">
        <v>5</v>
      </c>
      <c r="T66" s="52">
        <v>25</v>
      </c>
      <c r="U66" s="31"/>
      <c r="V66" s="9"/>
      <c r="W66" s="67"/>
      <c r="Y66" s="52">
        <v>25</v>
      </c>
      <c r="Z66" s="31"/>
      <c r="AA66" s="9"/>
      <c r="AB66" s="67"/>
      <c r="AD66" s="52">
        <v>25</v>
      </c>
      <c r="AE66" s="31">
        <v>40695</v>
      </c>
      <c r="AF66" s="9">
        <v>0</v>
      </c>
      <c r="AG66" s="67" t="e">
        <f>IF(AD66&lt;'DADOS DOS EMPREENDIMENTOS'!AF$11,0,IF(AD66='DADOS DOS EMPREENDIMENTOS'!AF$11,SUM(AF$41:AF66)*(1-'DADOS DOS EMPREENDIMENTOS'!#REF!-'DADOS DOS EMPREENDIMENTOS'!#REF!)+'DADOS DOS EMPREENDIMENTOS'!#REF!,IF(AD66='DADOS DOS EMPREENDIMENTOS'!#REF!,'DADOS DOS EMPREENDIMENTOS'!#REF!,AF66*(1-'DADOS DOS EMPREENDIMENTOS'!#REF!-'DADOS DOS EMPREENDIMENTOS'!#REF!))))</f>
        <v>#REF!</v>
      </c>
      <c r="AI66" s="52">
        <v>25</v>
      </c>
      <c r="AJ66" s="31">
        <v>40695</v>
      </c>
      <c r="AK66" s="9">
        <v>0</v>
      </c>
      <c r="AL66" s="67" t="e">
        <f>IF(AI66&lt;'DADOS DOS EMPREENDIMENTOS'!AK$11,0,IF(AI66='DADOS DOS EMPREENDIMENTOS'!AK$11,SUM(AK$41:AK66)*(1-'DADOS DOS EMPREENDIMENTOS'!#REF!-'DADOS DOS EMPREENDIMENTOS'!#REF!)+'DADOS DOS EMPREENDIMENTOS'!#REF!,IF(AI66='DADOS DOS EMPREENDIMENTOS'!#REF!,'DADOS DOS EMPREENDIMENTOS'!#REF!,AK66*(1-'DADOS DOS EMPREENDIMENTOS'!#REF!-'DADOS DOS EMPREENDIMENTOS'!#REF!))))</f>
        <v>#REF!</v>
      </c>
      <c r="AN66" s="52">
        <v>25</v>
      </c>
      <c r="AO66" s="31">
        <v>40695</v>
      </c>
      <c r="AP66" s="9">
        <v>0</v>
      </c>
      <c r="AQ66" s="67" t="e">
        <f>IF(AN66&lt;'DADOS DOS EMPREENDIMENTOS'!AP$11,0,IF(AN66='DADOS DOS EMPREENDIMENTOS'!AP$11,SUM(AP$41:AP66)*(1-'DADOS DOS EMPREENDIMENTOS'!#REF!-'DADOS DOS EMPREENDIMENTOS'!#REF!)+'DADOS DOS EMPREENDIMENTOS'!#REF!,IF(AN66='DADOS DOS EMPREENDIMENTOS'!#REF!,'DADOS DOS EMPREENDIMENTOS'!#REF!,AP66*(1-'DADOS DOS EMPREENDIMENTOS'!#REF!-'DADOS DOS EMPREENDIMENTOS'!#REF!))))</f>
        <v>#REF!</v>
      </c>
      <c r="AS66" s="52">
        <v>25</v>
      </c>
      <c r="AT66" s="31">
        <v>40695</v>
      </c>
      <c r="AU66" s="9">
        <v>0</v>
      </c>
      <c r="AV66" s="67" t="e">
        <f>IF(AS66&lt;'DADOS DOS EMPREENDIMENTOS'!AU$11,0,IF(AS66='DADOS DOS EMPREENDIMENTOS'!AU$11,SUM(AU$41:AU66)*(1-'DADOS DOS EMPREENDIMENTOS'!#REF!-'DADOS DOS EMPREENDIMENTOS'!#REF!)+'DADOS DOS EMPREENDIMENTOS'!#REF!,IF(AS66='DADOS DOS EMPREENDIMENTOS'!#REF!,'DADOS DOS EMPREENDIMENTOS'!#REF!,AU66*(1-'DADOS DOS EMPREENDIMENTOS'!#REF!-'DADOS DOS EMPREENDIMENTOS'!#REF!))))</f>
        <v>#REF!</v>
      </c>
      <c r="AX66" s="52">
        <v>25</v>
      </c>
      <c r="AY66" s="31">
        <v>40695</v>
      </c>
      <c r="AZ66" s="9">
        <v>0</v>
      </c>
      <c r="BA66" s="67" t="e">
        <f>IF(AX66&lt;'DADOS DOS EMPREENDIMENTOS'!AZ$11,0,IF(AX66='DADOS DOS EMPREENDIMENTOS'!AZ$11,SUM(AZ$41:AZ66)*(1-'DADOS DOS EMPREENDIMENTOS'!#REF!-'DADOS DOS EMPREENDIMENTOS'!#REF!)+'DADOS DOS EMPREENDIMENTOS'!#REF!,IF(AX66='DADOS DOS EMPREENDIMENTOS'!#REF!,'DADOS DOS EMPREENDIMENTOS'!#REF!,AZ66*(1-'DADOS DOS EMPREENDIMENTOS'!#REF!-'DADOS DOS EMPREENDIMENTOS'!#REF!))))</f>
        <v>#REF!</v>
      </c>
      <c r="BC66" s="52">
        <v>25</v>
      </c>
      <c r="BD66" s="31">
        <v>40695</v>
      </c>
      <c r="BE66" s="9">
        <v>0</v>
      </c>
      <c r="BF66" s="67" t="e">
        <f>IF(BC66&lt;'DADOS DOS EMPREENDIMENTOS'!BE$11,0,IF(BC66='DADOS DOS EMPREENDIMENTOS'!BE$11,SUM(BE$41:BE66)*(1-'DADOS DOS EMPREENDIMENTOS'!#REF!-'DADOS DOS EMPREENDIMENTOS'!#REF!)+'DADOS DOS EMPREENDIMENTOS'!#REF!,IF(BC66='DADOS DOS EMPREENDIMENTOS'!#REF!,'DADOS DOS EMPREENDIMENTOS'!#REF!,BE66*(1-'DADOS DOS EMPREENDIMENTOS'!#REF!-'DADOS DOS EMPREENDIMENTOS'!#REF!))))</f>
        <v>#REF!</v>
      </c>
      <c r="BH66" s="52">
        <v>25</v>
      </c>
      <c r="BI66" s="31">
        <v>40695</v>
      </c>
      <c r="BJ66" s="9">
        <v>0</v>
      </c>
      <c r="BK66" s="67" t="e">
        <f>IF(BH66&lt;'DADOS DOS EMPREENDIMENTOS'!BJ$11,0,IF(BH66='DADOS DOS EMPREENDIMENTOS'!BJ$11,SUM(BJ$41:BJ66)*(1-'DADOS DOS EMPREENDIMENTOS'!#REF!-'DADOS DOS EMPREENDIMENTOS'!#REF!)+'DADOS DOS EMPREENDIMENTOS'!#REF!,IF(BH66='DADOS DOS EMPREENDIMENTOS'!#REF!,'DADOS DOS EMPREENDIMENTOS'!#REF!,BJ66*(1-'DADOS DOS EMPREENDIMENTOS'!#REF!-'DADOS DOS EMPREENDIMENTOS'!#REF!))))</f>
        <v>#REF!</v>
      </c>
      <c r="BM66" s="52">
        <v>25</v>
      </c>
      <c r="BN66" s="31">
        <v>40695</v>
      </c>
      <c r="BO66" s="9">
        <v>0</v>
      </c>
      <c r="BP66" s="67" t="e">
        <f>IF(BM66&lt;'DADOS DOS EMPREENDIMENTOS'!BO$11,0,IF(BM66='DADOS DOS EMPREENDIMENTOS'!BO$11,SUM(BO$41:BO66)*(1-'DADOS DOS EMPREENDIMENTOS'!#REF!-'DADOS DOS EMPREENDIMENTOS'!#REF!)+'DADOS DOS EMPREENDIMENTOS'!#REF!,IF(BM66='DADOS DOS EMPREENDIMENTOS'!BO$12,'DADOS DOS EMPREENDIMENTOS'!#REF!,BO66*(1-'DADOS DOS EMPREENDIMENTOS'!#REF!-'DADOS DOS EMPREENDIMENTOS'!#REF!))))</f>
        <v>#REF!</v>
      </c>
      <c r="BR66" s="52">
        <v>25</v>
      </c>
      <c r="BS66" s="31">
        <v>40695</v>
      </c>
      <c r="BT66" s="9">
        <v>0</v>
      </c>
      <c r="BU66" s="67" t="e">
        <f>IF(BR66&lt;'DADOS DOS EMPREENDIMENTOS'!BT$11,0,IF(BR66='DADOS DOS EMPREENDIMENTOS'!BT$11,SUM(BT$41:BT66)*(1-'DADOS DOS EMPREENDIMENTOS'!#REF!-'DADOS DOS EMPREENDIMENTOS'!#REF!)+'DADOS DOS EMPREENDIMENTOS'!#REF!,IF(BR66='DADOS DOS EMPREENDIMENTOS'!BT$12,'DADOS DOS EMPREENDIMENTOS'!#REF!,BT66*(1-'DADOS DOS EMPREENDIMENTOS'!#REF!-'DADOS DOS EMPREENDIMENTOS'!#REF!))))</f>
        <v>#REF!</v>
      </c>
      <c r="BW66" s="52">
        <v>25</v>
      </c>
      <c r="BX66" s="31">
        <v>40695</v>
      </c>
      <c r="BY66" s="9">
        <v>0</v>
      </c>
      <c r="BZ66" s="67" t="e">
        <f>IF(BW66&lt;'DADOS DOS EMPREENDIMENTOS'!BY$11,0,IF(BW66='DADOS DOS EMPREENDIMENTOS'!BY$11,SUM(BY$41:BY66)*(1-'DADOS DOS EMPREENDIMENTOS'!#REF!-'DADOS DOS EMPREENDIMENTOS'!#REF!)+'DADOS DOS EMPREENDIMENTOS'!#REF!,IF(BW66='DADOS DOS EMPREENDIMENTOS'!BY$12,'DADOS DOS EMPREENDIMENTOS'!#REF!,BY66*(1-'DADOS DOS EMPREENDIMENTOS'!#REF!-'DADOS DOS EMPREENDIMENTOS'!#REF!))))</f>
        <v>#REF!</v>
      </c>
      <c r="CB66" s="52">
        <v>25</v>
      </c>
      <c r="CC66" s="31">
        <v>40695</v>
      </c>
      <c r="CD66" s="9">
        <v>0</v>
      </c>
      <c r="CE66" s="67" t="e">
        <f>IF(CB66&lt;'DADOS DOS EMPREENDIMENTOS'!CD$11,0,IF(CB66='DADOS DOS EMPREENDIMENTOS'!CD$11,SUM(CD$41:CD66)*(1-'DADOS DOS EMPREENDIMENTOS'!#REF!-'DADOS DOS EMPREENDIMENTOS'!#REF!)+'DADOS DOS EMPREENDIMENTOS'!#REF!,IF(CB66='DADOS DOS EMPREENDIMENTOS'!CD$12,'DADOS DOS EMPREENDIMENTOS'!#REF!,CD66*(1-'DADOS DOS EMPREENDIMENTOS'!#REF!-'DADOS DOS EMPREENDIMENTOS'!#REF!))))</f>
        <v>#REF!</v>
      </c>
      <c r="CG66" s="52"/>
      <c r="CH66" s="31"/>
      <c r="CI66" s="9"/>
      <c r="CJ66" s="67"/>
    </row>
    <row r="67" spans="15:88" ht="12.75" customHeight="1" thickBot="1" x14ac:dyDescent="0.25">
      <c r="O67" s="45">
        <v>52</v>
      </c>
      <c r="P67" s="640" t="s">
        <v>367</v>
      </c>
      <c r="Q67" s="677">
        <f>VLOOKUP(P67,Apoio!C:E,2,0)</f>
        <v>245940</v>
      </c>
      <c r="R67" s="641" t="s">
        <v>316</v>
      </c>
      <c r="S67" s="378">
        <v>5</v>
      </c>
      <c r="T67" s="52">
        <v>26</v>
      </c>
      <c r="U67" s="31"/>
      <c r="V67" s="9"/>
      <c r="W67" s="67"/>
      <c r="Y67" s="52">
        <v>26</v>
      </c>
      <c r="Z67" s="31"/>
      <c r="AA67" s="9"/>
      <c r="AB67" s="67"/>
      <c r="AD67" s="52">
        <v>26</v>
      </c>
      <c r="AE67" s="31">
        <v>40725</v>
      </c>
      <c r="AF67" s="9">
        <v>0</v>
      </c>
      <c r="AG67" s="67" t="e">
        <f>IF(AD67&lt;'DADOS DOS EMPREENDIMENTOS'!AF$11,0,IF(AD67='DADOS DOS EMPREENDIMENTOS'!AF$11,SUM(AF$41:AF67)*(1-'DADOS DOS EMPREENDIMENTOS'!#REF!-'DADOS DOS EMPREENDIMENTOS'!#REF!)+'DADOS DOS EMPREENDIMENTOS'!#REF!,IF(AD67='DADOS DOS EMPREENDIMENTOS'!#REF!,'DADOS DOS EMPREENDIMENTOS'!#REF!,AF67*(1-'DADOS DOS EMPREENDIMENTOS'!#REF!-'DADOS DOS EMPREENDIMENTOS'!#REF!))))</f>
        <v>#REF!</v>
      </c>
      <c r="AI67" s="52">
        <v>26</v>
      </c>
      <c r="AJ67" s="31">
        <v>40725</v>
      </c>
      <c r="AK67" s="9">
        <v>0</v>
      </c>
      <c r="AL67" s="67" t="e">
        <f>IF(AI67&lt;'DADOS DOS EMPREENDIMENTOS'!AK$11,0,IF(AI67='DADOS DOS EMPREENDIMENTOS'!AK$11,SUM(AK$41:AK67)*(1-'DADOS DOS EMPREENDIMENTOS'!#REF!-'DADOS DOS EMPREENDIMENTOS'!#REF!)+'DADOS DOS EMPREENDIMENTOS'!#REF!,IF(AI67='DADOS DOS EMPREENDIMENTOS'!#REF!,'DADOS DOS EMPREENDIMENTOS'!#REF!,AK67*(1-'DADOS DOS EMPREENDIMENTOS'!#REF!-'DADOS DOS EMPREENDIMENTOS'!#REF!))))</f>
        <v>#REF!</v>
      </c>
      <c r="AN67" s="52">
        <v>26</v>
      </c>
      <c r="AO67" s="31">
        <v>40725</v>
      </c>
      <c r="AP67" s="9">
        <v>0</v>
      </c>
      <c r="AQ67" s="67" t="e">
        <f>IF(AN67&lt;'DADOS DOS EMPREENDIMENTOS'!AP$11,0,IF(AN67='DADOS DOS EMPREENDIMENTOS'!AP$11,SUM(AP$41:AP67)*(1-'DADOS DOS EMPREENDIMENTOS'!#REF!-'DADOS DOS EMPREENDIMENTOS'!#REF!)+'DADOS DOS EMPREENDIMENTOS'!#REF!,IF(AN67='DADOS DOS EMPREENDIMENTOS'!#REF!,'DADOS DOS EMPREENDIMENTOS'!#REF!,AP67*(1-'DADOS DOS EMPREENDIMENTOS'!#REF!-'DADOS DOS EMPREENDIMENTOS'!#REF!))))</f>
        <v>#REF!</v>
      </c>
      <c r="AS67" s="52">
        <v>26</v>
      </c>
      <c r="AT67" s="31">
        <v>40725</v>
      </c>
      <c r="AU67" s="9">
        <v>0</v>
      </c>
      <c r="AV67" s="67" t="e">
        <f>IF(AS67&lt;'DADOS DOS EMPREENDIMENTOS'!AU$11,0,IF(AS67='DADOS DOS EMPREENDIMENTOS'!AU$11,SUM(AU$41:AU67)*(1-'DADOS DOS EMPREENDIMENTOS'!#REF!-'DADOS DOS EMPREENDIMENTOS'!#REF!)+'DADOS DOS EMPREENDIMENTOS'!#REF!,IF(AS67='DADOS DOS EMPREENDIMENTOS'!#REF!,'DADOS DOS EMPREENDIMENTOS'!#REF!,AU67*(1-'DADOS DOS EMPREENDIMENTOS'!#REF!-'DADOS DOS EMPREENDIMENTOS'!#REF!))))</f>
        <v>#REF!</v>
      </c>
      <c r="AX67" s="52">
        <v>26</v>
      </c>
      <c r="AY67" s="31">
        <v>40725</v>
      </c>
      <c r="AZ67" s="9">
        <v>0</v>
      </c>
      <c r="BA67" s="67" t="e">
        <f>IF(AX67&lt;'DADOS DOS EMPREENDIMENTOS'!AZ$11,0,IF(AX67='DADOS DOS EMPREENDIMENTOS'!AZ$11,SUM(AZ$41:AZ67)*(1-'DADOS DOS EMPREENDIMENTOS'!#REF!-'DADOS DOS EMPREENDIMENTOS'!#REF!)+'DADOS DOS EMPREENDIMENTOS'!#REF!,IF(AX67='DADOS DOS EMPREENDIMENTOS'!#REF!,'DADOS DOS EMPREENDIMENTOS'!#REF!,AZ67*(1-'DADOS DOS EMPREENDIMENTOS'!#REF!-'DADOS DOS EMPREENDIMENTOS'!#REF!))))</f>
        <v>#REF!</v>
      </c>
      <c r="BC67" s="52">
        <v>26</v>
      </c>
      <c r="BD67" s="31">
        <v>40725</v>
      </c>
      <c r="BE67" s="9">
        <v>0</v>
      </c>
      <c r="BF67" s="67" t="e">
        <f>IF(BC67&lt;'DADOS DOS EMPREENDIMENTOS'!BE$11,0,IF(BC67='DADOS DOS EMPREENDIMENTOS'!BE$11,SUM(BE$41:BE67)*(1-'DADOS DOS EMPREENDIMENTOS'!#REF!-'DADOS DOS EMPREENDIMENTOS'!#REF!)+'DADOS DOS EMPREENDIMENTOS'!#REF!,IF(BC67='DADOS DOS EMPREENDIMENTOS'!#REF!,'DADOS DOS EMPREENDIMENTOS'!#REF!,BE67*(1-'DADOS DOS EMPREENDIMENTOS'!#REF!-'DADOS DOS EMPREENDIMENTOS'!#REF!))))</f>
        <v>#REF!</v>
      </c>
      <c r="BH67" s="52">
        <v>26</v>
      </c>
      <c r="BI67" s="31">
        <v>40725</v>
      </c>
      <c r="BJ67" s="9">
        <v>0</v>
      </c>
      <c r="BK67" s="67" t="e">
        <f>IF(BH67&lt;'DADOS DOS EMPREENDIMENTOS'!BJ$11,0,IF(BH67='DADOS DOS EMPREENDIMENTOS'!BJ$11,SUM(BJ$41:BJ67)*(1-'DADOS DOS EMPREENDIMENTOS'!#REF!-'DADOS DOS EMPREENDIMENTOS'!#REF!)+'DADOS DOS EMPREENDIMENTOS'!#REF!,IF(BH67='DADOS DOS EMPREENDIMENTOS'!#REF!,'DADOS DOS EMPREENDIMENTOS'!#REF!,BJ67*(1-'DADOS DOS EMPREENDIMENTOS'!#REF!-'DADOS DOS EMPREENDIMENTOS'!#REF!))))</f>
        <v>#REF!</v>
      </c>
      <c r="BM67" s="52">
        <v>26</v>
      </c>
      <c r="BN67" s="31">
        <v>40725</v>
      </c>
      <c r="BO67" s="9">
        <v>0</v>
      </c>
      <c r="BP67" s="67" t="e">
        <f>IF(BM67&lt;'DADOS DOS EMPREENDIMENTOS'!BO$11,0,IF(BM67='DADOS DOS EMPREENDIMENTOS'!BO$11,SUM(BO$41:BO67)*(1-'DADOS DOS EMPREENDIMENTOS'!#REF!-'DADOS DOS EMPREENDIMENTOS'!#REF!)+'DADOS DOS EMPREENDIMENTOS'!#REF!,IF(BM67='DADOS DOS EMPREENDIMENTOS'!BO$12,'DADOS DOS EMPREENDIMENTOS'!#REF!,BO67*(1-'DADOS DOS EMPREENDIMENTOS'!#REF!-'DADOS DOS EMPREENDIMENTOS'!#REF!))))</f>
        <v>#REF!</v>
      </c>
      <c r="BR67" s="52">
        <v>26</v>
      </c>
      <c r="BS67" s="31">
        <v>40725</v>
      </c>
      <c r="BT67" s="9">
        <v>0</v>
      </c>
      <c r="BU67" s="67" t="e">
        <f>IF(BR67&lt;'DADOS DOS EMPREENDIMENTOS'!BT$11,0,IF(BR67='DADOS DOS EMPREENDIMENTOS'!BT$11,SUM(BT$41:BT67)*(1-'DADOS DOS EMPREENDIMENTOS'!#REF!-'DADOS DOS EMPREENDIMENTOS'!#REF!)+'DADOS DOS EMPREENDIMENTOS'!#REF!,IF(BR67='DADOS DOS EMPREENDIMENTOS'!BT$12,'DADOS DOS EMPREENDIMENTOS'!#REF!,BT67*(1-'DADOS DOS EMPREENDIMENTOS'!#REF!-'DADOS DOS EMPREENDIMENTOS'!#REF!))))</f>
        <v>#REF!</v>
      </c>
      <c r="BW67" s="52">
        <v>26</v>
      </c>
      <c r="BX67" s="31">
        <v>40725</v>
      </c>
      <c r="BY67" s="9">
        <v>0</v>
      </c>
      <c r="BZ67" s="67" t="e">
        <f>IF(BW67&lt;'DADOS DOS EMPREENDIMENTOS'!BY$11,0,IF(BW67='DADOS DOS EMPREENDIMENTOS'!BY$11,SUM(BY$41:BY67)*(1-'DADOS DOS EMPREENDIMENTOS'!#REF!-'DADOS DOS EMPREENDIMENTOS'!#REF!)+'DADOS DOS EMPREENDIMENTOS'!#REF!,IF(BW67='DADOS DOS EMPREENDIMENTOS'!BY$12,'DADOS DOS EMPREENDIMENTOS'!#REF!,BY67*(1-'DADOS DOS EMPREENDIMENTOS'!#REF!-'DADOS DOS EMPREENDIMENTOS'!#REF!))))</f>
        <v>#REF!</v>
      </c>
      <c r="CB67" s="52">
        <v>26</v>
      </c>
      <c r="CC67" s="31">
        <v>40725</v>
      </c>
      <c r="CD67" s="9">
        <v>0</v>
      </c>
      <c r="CE67" s="67" t="e">
        <f>IF(CB67&lt;'DADOS DOS EMPREENDIMENTOS'!CD$11,0,IF(CB67='DADOS DOS EMPREENDIMENTOS'!CD$11,SUM(CD$41:CD67)*(1-'DADOS DOS EMPREENDIMENTOS'!#REF!-'DADOS DOS EMPREENDIMENTOS'!#REF!)+'DADOS DOS EMPREENDIMENTOS'!#REF!,IF(CB67='DADOS DOS EMPREENDIMENTOS'!CD$12,'DADOS DOS EMPREENDIMENTOS'!#REF!,CD67*(1-'DADOS DOS EMPREENDIMENTOS'!#REF!-'DADOS DOS EMPREENDIMENTOS'!#REF!))))</f>
        <v>#REF!</v>
      </c>
      <c r="CG67" s="52"/>
      <c r="CH67" s="31"/>
      <c r="CI67" s="9"/>
      <c r="CJ67" s="67"/>
    </row>
    <row r="68" spans="15:88" ht="12.75" customHeight="1" thickBot="1" x14ac:dyDescent="0.25">
      <c r="O68" s="43">
        <v>53</v>
      </c>
      <c r="P68" s="640" t="s">
        <v>368</v>
      </c>
      <c r="Q68" s="677">
        <f>VLOOKUP(P68,Apoio!C:E,2,0)</f>
        <v>245940</v>
      </c>
      <c r="R68" s="641" t="s">
        <v>316</v>
      </c>
      <c r="S68" s="378">
        <v>5</v>
      </c>
      <c r="T68" s="52">
        <v>27</v>
      </c>
      <c r="U68" s="31"/>
      <c r="V68" s="9"/>
      <c r="W68" s="67"/>
      <c r="Y68" s="52">
        <v>27</v>
      </c>
      <c r="Z68" s="31"/>
      <c r="AA68" s="9"/>
      <c r="AB68" s="67"/>
      <c r="AD68" s="52">
        <v>27</v>
      </c>
      <c r="AE68" s="31">
        <v>40756</v>
      </c>
      <c r="AF68" s="9">
        <v>0</v>
      </c>
      <c r="AG68" s="67" t="e">
        <f>IF(AD68&lt;'DADOS DOS EMPREENDIMENTOS'!AF$11,0,IF(AD68='DADOS DOS EMPREENDIMENTOS'!AF$11,SUM(AF$41:AF68)*(1-'DADOS DOS EMPREENDIMENTOS'!#REF!-'DADOS DOS EMPREENDIMENTOS'!#REF!)+'DADOS DOS EMPREENDIMENTOS'!#REF!,IF(AD68='DADOS DOS EMPREENDIMENTOS'!#REF!,'DADOS DOS EMPREENDIMENTOS'!#REF!,AF68*(1-'DADOS DOS EMPREENDIMENTOS'!#REF!-'DADOS DOS EMPREENDIMENTOS'!#REF!))))</f>
        <v>#REF!</v>
      </c>
      <c r="AI68" s="52">
        <v>27</v>
      </c>
      <c r="AJ68" s="31">
        <v>40756</v>
      </c>
      <c r="AK68" s="9">
        <v>0</v>
      </c>
      <c r="AL68" s="67" t="e">
        <f>IF(AI68&lt;'DADOS DOS EMPREENDIMENTOS'!AK$11,0,IF(AI68='DADOS DOS EMPREENDIMENTOS'!AK$11,SUM(AK$41:AK68)*(1-'DADOS DOS EMPREENDIMENTOS'!#REF!-'DADOS DOS EMPREENDIMENTOS'!#REF!)+'DADOS DOS EMPREENDIMENTOS'!#REF!,IF(AI68='DADOS DOS EMPREENDIMENTOS'!#REF!,'DADOS DOS EMPREENDIMENTOS'!#REF!,AK68*(1-'DADOS DOS EMPREENDIMENTOS'!#REF!-'DADOS DOS EMPREENDIMENTOS'!#REF!))))</f>
        <v>#REF!</v>
      </c>
      <c r="AN68" s="52">
        <v>27</v>
      </c>
      <c r="AO68" s="31">
        <v>40756</v>
      </c>
      <c r="AP68" s="9">
        <v>0</v>
      </c>
      <c r="AQ68" s="67" t="e">
        <f>IF(AN68&lt;'DADOS DOS EMPREENDIMENTOS'!AP$11,0,IF(AN68='DADOS DOS EMPREENDIMENTOS'!AP$11,SUM(AP$41:AP68)*(1-'DADOS DOS EMPREENDIMENTOS'!#REF!-'DADOS DOS EMPREENDIMENTOS'!#REF!)+'DADOS DOS EMPREENDIMENTOS'!#REF!,IF(AN68='DADOS DOS EMPREENDIMENTOS'!#REF!,'DADOS DOS EMPREENDIMENTOS'!#REF!,AP68*(1-'DADOS DOS EMPREENDIMENTOS'!#REF!-'DADOS DOS EMPREENDIMENTOS'!#REF!))))</f>
        <v>#REF!</v>
      </c>
      <c r="AS68" s="52">
        <v>27</v>
      </c>
      <c r="AT68" s="31">
        <v>40756</v>
      </c>
      <c r="AU68" s="9">
        <v>0</v>
      </c>
      <c r="AV68" s="67" t="e">
        <f>IF(AS68&lt;'DADOS DOS EMPREENDIMENTOS'!AU$11,0,IF(AS68='DADOS DOS EMPREENDIMENTOS'!AU$11,SUM(AU$41:AU68)*(1-'DADOS DOS EMPREENDIMENTOS'!#REF!-'DADOS DOS EMPREENDIMENTOS'!#REF!)+'DADOS DOS EMPREENDIMENTOS'!#REF!,IF(AS68='DADOS DOS EMPREENDIMENTOS'!#REF!,'DADOS DOS EMPREENDIMENTOS'!#REF!,AU68*(1-'DADOS DOS EMPREENDIMENTOS'!#REF!-'DADOS DOS EMPREENDIMENTOS'!#REF!))))</f>
        <v>#REF!</v>
      </c>
      <c r="AX68" s="52">
        <v>27</v>
      </c>
      <c r="AY68" s="31">
        <v>40756</v>
      </c>
      <c r="AZ68" s="9">
        <v>0</v>
      </c>
      <c r="BA68" s="67" t="e">
        <f>IF(AX68&lt;'DADOS DOS EMPREENDIMENTOS'!AZ$11,0,IF(AX68='DADOS DOS EMPREENDIMENTOS'!AZ$11,SUM(AZ$41:AZ68)*(1-'DADOS DOS EMPREENDIMENTOS'!#REF!-'DADOS DOS EMPREENDIMENTOS'!#REF!)+'DADOS DOS EMPREENDIMENTOS'!#REF!,IF(AX68='DADOS DOS EMPREENDIMENTOS'!#REF!,'DADOS DOS EMPREENDIMENTOS'!#REF!,AZ68*(1-'DADOS DOS EMPREENDIMENTOS'!#REF!-'DADOS DOS EMPREENDIMENTOS'!#REF!))))</f>
        <v>#REF!</v>
      </c>
      <c r="BC68" s="52">
        <v>27</v>
      </c>
      <c r="BD68" s="31">
        <v>40756</v>
      </c>
      <c r="BE68" s="9">
        <v>0</v>
      </c>
      <c r="BF68" s="67" t="e">
        <f>IF(BC68&lt;'DADOS DOS EMPREENDIMENTOS'!BE$11,0,IF(BC68='DADOS DOS EMPREENDIMENTOS'!BE$11,SUM(BE$41:BE68)*(1-'DADOS DOS EMPREENDIMENTOS'!#REF!-'DADOS DOS EMPREENDIMENTOS'!#REF!)+'DADOS DOS EMPREENDIMENTOS'!#REF!,IF(BC68='DADOS DOS EMPREENDIMENTOS'!#REF!,'DADOS DOS EMPREENDIMENTOS'!#REF!,BE68*(1-'DADOS DOS EMPREENDIMENTOS'!#REF!-'DADOS DOS EMPREENDIMENTOS'!#REF!))))</f>
        <v>#REF!</v>
      </c>
      <c r="BH68" s="52">
        <v>27</v>
      </c>
      <c r="BI68" s="31">
        <v>40756</v>
      </c>
      <c r="BJ68" s="9">
        <v>0</v>
      </c>
      <c r="BK68" s="67" t="e">
        <f>IF(BH68&lt;'DADOS DOS EMPREENDIMENTOS'!BJ$11,0,IF(BH68='DADOS DOS EMPREENDIMENTOS'!BJ$11,SUM(BJ$41:BJ68)*(1-'DADOS DOS EMPREENDIMENTOS'!#REF!-'DADOS DOS EMPREENDIMENTOS'!#REF!)+'DADOS DOS EMPREENDIMENTOS'!#REF!,IF(BH68='DADOS DOS EMPREENDIMENTOS'!#REF!,'DADOS DOS EMPREENDIMENTOS'!#REF!,BJ68*(1-'DADOS DOS EMPREENDIMENTOS'!#REF!-'DADOS DOS EMPREENDIMENTOS'!#REF!))))</f>
        <v>#REF!</v>
      </c>
      <c r="BM68" s="52">
        <v>27</v>
      </c>
      <c r="BN68" s="31">
        <v>40756</v>
      </c>
      <c r="BO68" s="9">
        <v>0</v>
      </c>
      <c r="BP68" s="67" t="e">
        <f>IF(BM68&lt;'DADOS DOS EMPREENDIMENTOS'!BO$11,0,IF(BM68='DADOS DOS EMPREENDIMENTOS'!BO$11,SUM(BO$41:BO68)*(1-'DADOS DOS EMPREENDIMENTOS'!#REF!-'DADOS DOS EMPREENDIMENTOS'!#REF!)+'DADOS DOS EMPREENDIMENTOS'!#REF!,IF(BM68='DADOS DOS EMPREENDIMENTOS'!BO$12,'DADOS DOS EMPREENDIMENTOS'!#REF!,BO68*(1-'DADOS DOS EMPREENDIMENTOS'!#REF!-'DADOS DOS EMPREENDIMENTOS'!#REF!))))</f>
        <v>#REF!</v>
      </c>
      <c r="BR68" s="52">
        <v>27</v>
      </c>
      <c r="BS68" s="31">
        <v>40756</v>
      </c>
      <c r="BT68" s="9">
        <v>0</v>
      </c>
      <c r="BU68" s="67" t="e">
        <f>IF(BR68&lt;'DADOS DOS EMPREENDIMENTOS'!BT$11,0,IF(BR68='DADOS DOS EMPREENDIMENTOS'!BT$11,SUM(BT$41:BT68)*(1-'DADOS DOS EMPREENDIMENTOS'!#REF!-'DADOS DOS EMPREENDIMENTOS'!#REF!)+'DADOS DOS EMPREENDIMENTOS'!#REF!,IF(BR68='DADOS DOS EMPREENDIMENTOS'!BT$12,'DADOS DOS EMPREENDIMENTOS'!#REF!,BT68*(1-'DADOS DOS EMPREENDIMENTOS'!#REF!-'DADOS DOS EMPREENDIMENTOS'!#REF!))))</f>
        <v>#REF!</v>
      </c>
      <c r="BW68" s="52">
        <v>27</v>
      </c>
      <c r="BX68" s="31">
        <v>40756</v>
      </c>
      <c r="BY68" s="9">
        <v>0</v>
      </c>
      <c r="BZ68" s="67" t="e">
        <f>IF(BW68&lt;'DADOS DOS EMPREENDIMENTOS'!BY$11,0,IF(BW68='DADOS DOS EMPREENDIMENTOS'!BY$11,SUM(BY$41:BY68)*(1-'DADOS DOS EMPREENDIMENTOS'!#REF!-'DADOS DOS EMPREENDIMENTOS'!#REF!)+'DADOS DOS EMPREENDIMENTOS'!#REF!,IF(BW68='DADOS DOS EMPREENDIMENTOS'!BY$12,'DADOS DOS EMPREENDIMENTOS'!#REF!,BY68*(1-'DADOS DOS EMPREENDIMENTOS'!#REF!-'DADOS DOS EMPREENDIMENTOS'!#REF!))))</f>
        <v>#REF!</v>
      </c>
      <c r="CB68" s="52">
        <v>27</v>
      </c>
      <c r="CC68" s="31">
        <v>40756</v>
      </c>
      <c r="CD68" s="9">
        <v>0</v>
      </c>
      <c r="CE68" s="67" t="e">
        <f>IF(CB68&lt;'DADOS DOS EMPREENDIMENTOS'!CD$11,0,IF(CB68='DADOS DOS EMPREENDIMENTOS'!CD$11,SUM(CD$41:CD68)*(1-'DADOS DOS EMPREENDIMENTOS'!#REF!-'DADOS DOS EMPREENDIMENTOS'!#REF!)+'DADOS DOS EMPREENDIMENTOS'!#REF!,IF(CB68='DADOS DOS EMPREENDIMENTOS'!CD$12,'DADOS DOS EMPREENDIMENTOS'!#REF!,CD68*(1-'DADOS DOS EMPREENDIMENTOS'!#REF!-'DADOS DOS EMPREENDIMENTOS'!#REF!))))</f>
        <v>#REF!</v>
      </c>
      <c r="CG68" s="52"/>
      <c r="CH68" s="31"/>
      <c r="CI68" s="9"/>
      <c r="CJ68" s="67"/>
    </row>
    <row r="69" spans="15:88" ht="12.75" customHeight="1" thickBot="1" x14ac:dyDescent="0.25">
      <c r="O69" s="45">
        <v>54</v>
      </c>
      <c r="P69" s="640" t="s">
        <v>369</v>
      </c>
      <c r="Q69" s="677">
        <f>VLOOKUP(P69,Apoio!C:E,2,0)</f>
        <v>246030</v>
      </c>
      <c r="R69" s="641" t="s">
        <v>316</v>
      </c>
      <c r="S69" s="378">
        <v>5</v>
      </c>
      <c r="T69" s="52">
        <v>28</v>
      </c>
      <c r="U69" s="31"/>
      <c r="V69" s="9"/>
      <c r="W69" s="67"/>
      <c r="Y69" s="52">
        <v>28</v>
      </c>
      <c r="Z69" s="31"/>
      <c r="AA69" s="9"/>
      <c r="AB69" s="67"/>
      <c r="AD69" s="52">
        <v>28</v>
      </c>
      <c r="AE69" s="31">
        <v>40787</v>
      </c>
      <c r="AF69" s="9">
        <v>0</v>
      </c>
      <c r="AG69" s="67" t="e">
        <f>IF(AD69&lt;'DADOS DOS EMPREENDIMENTOS'!AF$11,0,IF(AD69='DADOS DOS EMPREENDIMENTOS'!AF$11,SUM(AF$41:AF69)*(1-'DADOS DOS EMPREENDIMENTOS'!#REF!-'DADOS DOS EMPREENDIMENTOS'!#REF!)+'DADOS DOS EMPREENDIMENTOS'!#REF!,IF(AD69='DADOS DOS EMPREENDIMENTOS'!#REF!,'DADOS DOS EMPREENDIMENTOS'!#REF!,AF69*(1-'DADOS DOS EMPREENDIMENTOS'!#REF!-'DADOS DOS EMPREENDIMENTOS'!#REF!))))</f>
        <v>#REF!</v>
      </c>
      <c r="AI69" s="52">
        <v>28</v>
      </c>
      <c r="AJ69" s="31">
        <v>40787</v>
      </c>
      <c r="AK69" s="9">
        <v>0</v>
      </c>
      <c r="AL69" s="67" t="e">
        <f>IF(AI69&lt;'DADOS DOS EMPREENDIMENTOS'!AK$11,0,IF(AI69='DADOS DOS EMPREENDIMENTOS'!AK$11,SUM(AK$41:AK69)*(1-'DADOS DOS EMPREENDIMENTOS'!#REF!-'DADOS DOS EMPREENDIMENTOS'!#REF!)+'DADOS DOS EMPREENDIMENTOS'!#REF!,IF(AI69='DADOS DOS EMPREENDIMENTOS'!#REF!,'DADOS DOS EMPREENDIMENTOS'!#REF!,AK69*(1-'DADOS DOS EMPREENDIMENTOS'!#REF!-'DADOS DOS EMPREENDIMENTOS'!#REF!))))</f>
        <v>#REF!</v>
      </c>
      <c r="AN69" s="52">
        <v>28</v>
      </c>
      <c r="AO69" s="31">
        <v>40787</v>
      </c>
      <c r="AP69" s="9">
        <v>0</v>
      </c>
      <c r="AQ69" s="67" t="e">
        <f>IF(AN69&lt;'DADOS DOS EMPREENDIMENTOS'!AP$11,0,IF(AN69='DADOS DOS EMPREENDIMENTOS'!AP$11,SUM(AP$41:AP69)*(1-'DADOS DOS EMPREENDIMENTOS'!#REF!-'DADOS DOS EMPREENDIMENTOS'!#REF!)+'DADOS DOS EMPREENDIMENTOS'!#REF!,IF(AN69='DADOS DOS EMPREENDIMENTOS'!#REF!,'DADOS DOS EMPREENDIMENTOS'!#REF!,AP69*(1-'DADOS DOS EMPREENDIMENTOS'!#REF!-'DADOS DOS EMPREENDIMENTOS'!#REF!))))</f>
        <v>#REF!</v>
      </c>
      <c r="AS69" s="52">
        <v>28</v>
      </c>
      <c r="AT69" s="31">
        <v>40787</v>
      </c>
      <c r="AU69" s="9">
        <v>0</v>
      </c>
      <c r="AV69" s="67" t="e">
        <f>IF(AS69&lt;'DADOS DOS EMPREENDIMENTOS'!AU$11,0,IF(AS69='DADOS DOS EMPREENDIMENTOS'!AU$11,SUM(AU$41:AU69)*(1-'DADOS DOS EMPREENDIMENTOS'!#REF!-'DADOS DOS EMPREENDIMENTOS'!#REF!)+'DADOS DOS EMPREENDIMENTOS'!#REF!,IF(AS69='DADOS DOS EMPREENDIMENTOS'!#REF!,'DADOS DOS EMPREENDIMENTOS'!#REF!,AU69*(1-'DADOS DOS EMPREENDIMENTOS'!#REF!-'DADOS DOS EMPREENDIMENTOS'!#REF!))))</f>
        <v>#REF!</v>
      </c>
      <c r="AX69" s="52">
        <v>28</v>
      </c>
      <c r="AY69" s="31">
        <v>40787</v>
      </c>
      <c r="AZ69" s="9">
        <v>0</v>
      </c>
      <c r="BA69" s="67" t="e">
        <f>IF(AX69&lt;'DADOS DOS EMPREENDIMENTOS'!AZ$11,0,IF(AX69='DADOS DOS EMPREENDIMENTOS'!AZ$11,SUM(AZ$41:AZ69)*(1-'DADOS DOS EMPREENDIMENTOS'!#REF!-'DADOS DOS EMPREENDIMENTOS'!#REF!)+'DADOS DOS EMPREENDIMENTOS'!#REF!,IF(AX69='DADOS DOS EMPREENDIMENTOS'!#REF!,'DADOS DOS EMPREENDIMENTOS'!#REF!,AZ69*(1-'DADOS DOS EMPREENDIMENTOS'!#REF!-'DADOS DOS EMPREENDIMENTOS'!#REF!))))</f>
        <v>#REF!</v>
      </c>
      <c r="BC69" s="52">
        <v>28</v>
      </c>
      <c r="BD69" s="31">
        <v>40787</v>
      </c>
      <c r="BE69" s="9">
        <v>0</v>
      </c>
      <c r="BF69" s="67" t="e">
        <f>IF(BC69&lt;'DADOS DOS EMPREENDIMENTOS'!BE$11,0,IF(BC69='DADOS DOS EMPREENDIMENTOS'!BE$11,SUM(BE$41:BE69)*(1-'DADOS DOS EMPREENDIMENTOS'!#REF!-'DADOS DOS EMPREENDIMENTOS'!#REF!)+'DADOS DOS EMPREENDIMENTOS'!#REF!,IF(BC69='DADOS DOS EMPREENDIMENTOS'!#REF!,'DADOS DOS EMPREENDIMENTOS'!#REF!,BE69*(1-'DADOS DOS EMPREENDIMENTOS'!#REF!-'DADOS DOS EMPREENDIMENTOS'!#REF!))))</f>
        <v>#REF!</v>
      </c>
      <c r="BH69" s="52">
        <v>28</v>
      </c>
      <c r="BI69" s="31">
        <v>40787</v>
      </c>
      <c r="BJ69" s="9">
        <v>0</v>
      </c>
      <c r="BK69" s="67" t="e">
        <f>IF(BH69&lt;'DADOS DOS EMPREENDIMENTOS'!BJ$11,0,IF(BH69='DADOS DOS EMPREENDIMENTOS'!BJ$11,SUM(BJ$41:BJ69)*(1-'DADOS DOS EMPREENDIMENTOS'!#REF!-'DADOS DOS EMPREENDIMENTOS'!#REF!)+'DADOS DOS EMPREENDIMENTOS'!#REF!,IF(BH69='DADOS DOS EMPREENDIMENTOS'!#REF!,'DADOS DOS EMPREENDIMENTOS'!#REF!,BJ69*(1-'DADOS DOS EMPREENDIMENTOS'!#REF!-'DADOS DOS EMPREENDIMENTOS'!#REF!))))</f>
        <v>#REF!</v>
      </c>
      <c r="BM69" s="52">
        <v>28</v>
      </c>
      <c r="BN69" s="31">
        <v>40787</v>
      </c>
      <c r="BO69" s="9">
        <v>0</v>
      </c>
      <c r="BP69" s="67" t="e">
        <f>IF(BM69&lt;'DADOS DOS EMPREENDIMENTOS'!BO$11,0,IF(BM69='DADOS DOS EMPREENDIMENTOS'!BO$11,SUM(BO$41:BO69)*(1-'DADOS DOS EMPREENDIMENTOS'!#REF!-'DADOS DOS EMPREENDIMENTOS'!#REF!)+'DADOS DOS EMPREENDIMENTOS'!#REF!,IF(BM69='DADOS DOS EMPREENDIMENTOS'!BO$12,'DADOS DOS EMPREENDIMENTOS'!#REF!,BO69*(1-'DADOS DOS EMPREENDIMENTOS'!#REF!-'DADOS DOS EMPREENDIMENTOS'!#REF!))))</f>
        <v>#REF!</v>
      </c>
      <c r="BR69" s="52">
        <v>28</v>
      </c>
      <c r="BS69" s="31">
        <v>40787</v>
      </c>
      <c r="BT69" s="9">
        <v>0</v>
      </c>
      <c r="BU69" s="67" t="e">
        <f>IF(BR69&lt;'DADOS DOS EMPREENDIMENTOS'!BT$11,0,IF(BR69='DADOS DOS EMPREENDIMENTOS'!BT$11,SUM(BT$41:BT69)*(1-'DADOS DOS EMPREENDIMENTOS'!#REF!-'DADOS DOS EMPREENDIMENTOS'!#REF!)+'DADOS DOS EMPREENDIMENTOS'!#REF!,IF(BR69='DADOS DOS EMPREENDIMENTOS'!BT$12,'DADOS DOS EMPREENDIMENTOS'!#REF!,BT69*(1-'DADOS DOS EMPREENDIMENTOS'!#REF!-'DADOS DOS EMPREENDIMENTOS'!#REF!))))</f>
        <v>#REF!</v>
      </c>
      <c r="BW69" s="52">
        <v>28</v>
      </c>
      <c r="BX69" s="31">
        <v>40787</v>
      </c>
      <c r="BY69" s="9">
        <v>0</v>
      </c>
      <c r="BZ69" s="67" t="e">
        <f>IF(BW69&lt;'DADOS DOS EMPREENDIMENTOS'!BY$11,0,IF(BW69='DADOS DOS EMPREENDIMENTOS'!BY$11,SUM(BY$41:BY69)*(1-'DADOS DOS EMPREENDIMENTOS'!#REF!-'DADOS DOS EMPREENDIMENTOS'!#REF!)+'DADOS DOS EMPREENDIMENTOS'!#REF!,IF(BW69='DADOS DOS EMPREENDIMENTOS'!BY$12,'DADOS DOS EMPREENDIMENTOS'!#REF!,BY69*(1-'DADOS DOS EMPREENDIMENTOS'!#REF!-'DADOS DOS EMPREENDIMENTOS'!#REF!))))</f>
        <v>#REF!</v>
      </c>
      <c r="CB69" s="52">
        <v>28</v>
      </c>
      <c r="CC69" s="31">
        <v>40787</v>
      </c>
      <c r="CD69" s="9">
        <v>0</v>
      </c>
      <c r="CE69" s="67" t="e">
        <f>IF(CB69&lt;'DADOS DOS EMPREENDIMENTOS'!CD$11,0,IF(CB69='DADOS DOS EMPREENDIMENTOS'!CD$11,SUM(CD$41:CD69)*(1-'DADOS DOS EMPREENDIMENTOS'!#REF!-'DADOS DOS EMPREENDIMENTOS'!#REF!)+'DADOS DOS EMPREENDIMENTOS'!#REF!,IF(CB69='DADOS DOS EMPREENDIMENTOS'!CD$12,'DADOS DOS EMPREENDIMENTOS'!#REF!,CD69*(1-'DADOS DOS EMPREENDIMENTOS'!#REF!-'DADOS DOS EMPREENDIMENTOS'!#REF!))))</f>
        <v>#REF!</v>
      </c>
      <c r="CG69" s="52"/>
      <c r="CH69" s="31"/>
      <c r="CI69" s="9"/>
      <c r="CJ69" s="67"/>
    </row>
    <row r="70" spans="15:88" ht="12.75" customHeight="1" thickBot="1" x14ac:dyDescent="0.25">
      <c r="O70" s="43">
        <v>55</v>
      </c>
      <c r="P70" s="640" t="s">
        <v>370</v>
      </c>
      <c r="Q70" s="677">
        <f>VLOOKUP(P70,Apoio!C:E,2,0)</f>
        <v>246030</v>
      </c>
      <c r="R70" s="641" t="s">
        <v>316</v>
      </c>
      <c r="S70" s="378">
        <v>5</v>
      </c>
      <c r="T70" s="52">
        <v>29</v>
      </c>
      <c r="U70" s="31"/>
      <c r="V70" s="9"/>
      <c r="W70" s="67"/>
      <c r="Y70" s="52">
        <v>29</v>
      </c>
      <c r="Z70" s="31"/>
      <c r="AA70" s="9"/>
      <c r="AB70" s="67"/>
      <c r="AD70" s="52">
        <v>29</v>
      </c>
      <c r="AE70" s="31">
        <v>40817</v>
      </c>
      <c r="AF70" s="9">
        <v>0</v>
      </c>
      <c r="AG70" s="67" t="e">
        <f>IF(AD70&lt;'DADOS DOS EMPREENDIMENTOS'!AF$11,0,IF(AD70='DADOS DOS EMPREENDIMENTOS'!AF$11,SUM(AF$41:AF70)*(1-'DADOS DOS EMPREENDIMENTOS'!#REF!-'DADOS DOS EMPREENDIMENTOS'!#REF!)+'DADOS DOS EMPREENDIMENTOS'!#REF!,IF(AD70='DADOS DOS EMPREENDIMENTOS'!#REF!,'DADOS DOS EMPREENDIMENTOS'!#REF!,AF70*(1-'DADOS DOS EMPREENDIMENTOS'!#REF!-'DADOS DOS EMPREENDIMENTOS'!#REF!))))</f>
        <v>#REF!</v>
      </c>
      <c r="AI70" s="52">
        <v>29</v>
      </c>
      <c r="AJ70" s="31">
        <v>40817</v>
      </c>
      <c r="AK70" s="9">
        <v>0</v>
      </c>
      <c r="AL70" s="67" t="e">
        <f>IF(AI70&lt;'DADOS DOS EMPREENDIMENTOS'!AK$11,0,IF(AI70='DADOS DOS EMPREENDIMENTOS'!AK$11,SUM(AK$41:AK70)*(1-'DADOS DOS EMPREENDIMENTOS'!#REF!-'DADOS DOS EMPREENDIMENTOS'!#REF!)+'DADOS DOS EMPREENDIMENTOS'!#REF!,IF(AI70='DADOS DOS EMPREENDIMENTOS'!#REF!,'DADOS DOS EMPREENDIMENTOS'!#REF!,AK70*(1-'DADOS DOS EMPREENDIMENTOS'!#REF!-'DADOS DOS EMPREENDIMENTOS'!#REF!))))</f>
        <v>#REF!</v>
      </c>
      <c r="AN70" s="52">
        <v>29</v>
      </c>
      <c r="AO70" s="31">
        <v>40817</v>
      </c>
      <c r="AP70" s="9">
        <v>0</v>
      </c>
      <c r="AQ70" s="67" t="e">
        <f>IF(AN70&lt;'DADOS DOS EMPREENDIMENTOS'!AP$11,0,IF(AN70='DADOS DOS EMPREENDIMENTOS'!AP$11,SUM(AP$41:AP70)*(1-'DADOS DOS EMPREENDIMENTOS'!#REF!-'DADOS DOS EMPREENDIMENTOS'!#REF!)+'DADOS DOS EMPREENDIMENTOS'!#REF!,IF(AN70='DADOS DOS EMPREENDIMENTOS'!#REF!,'DADOS DOS EMPREENDIMENTOS'!#REF!,AP70*(1-'DADOS DOS EMPREENDIMENTOS'!#REF!-'DADOS DOS EMPREENDIMENTOS'!#REF!))))</f>
        <v>#REF!</v>
      </c>
      <c r="AS70" s="52">
        <v>29</v>
      </c>
      <c r="AT70" s="31">
        <v>40817</v>
      </c>
      <c r="AU70" s="9">
        <v>0</v>
      </c>
      <c r="AV70" s="67" t="e">
        <f>IF(AS70&lt;'DADOS DOS EMPREENDIMENTOS'!AU$11,0,IF(AS70='DADOS DOS EMPREENDIMENTOS'!AU$11,SUM(AU$41:AU70)*(1-'DADOS DOS EMPREENDIMENTOS'!#REF!-'DADOS DOS EMPREENDIMENTOS'!#REF!)+'DADOS DOS EMPREENDIMENTOS'!#REF!,IF(AS70='DADOS DOS EMPREENDIMENTOS'!#REF!,'DADOS DOS EMPREENDIMENTOS'!#REF!,AU70*(1-'DADOS DOS EMPREENDIMENTOS'!#REF!-'DADOS DOS EMPREENDIMENTOS'!#REF!))))</f>
        <v>#REF!</v>
      </c>
      <c r="AX70" s="52">
        <v>29</v>
      </c>
      <c r="AY70" s="31">
        <v>40817</v>
      </c>
      <c r="AZ70" s="9">
        <v>0</v>
      </c>
      <c r="BA70" s="67" t="e">
        <f>IF(AX70&lt;'DADOS DOS EMPREENDIMENTOS'!AZ$11,0,IF(AX70='DADOS DOS EMPREENDIMENTOS'!AZ$11,SUM(AZ$41:AZ70)*(1-'DADOS DOS EMPREENDIMENTOS'!#REF!-'DADOS DOS EMPREENDIMENTOS'!#REF!)+'DADOS DOS EMPREENDIMENTOS'!#REF!,IF(AX70='DADOS DOS EMPREENDIMENTOS'!#REF!,'DADOS DOS EMPREENDIMENTOS'!#REF!,AZ70*(1-'DADOS DOS EMPREENDIMENTOS'!#REF!-'DADOS DOS EMPREENDIMENTOS'!#REF!))))</f>
        <v>#REF!</v>
      </c>
      <c r="BC70" s="52">
        <v>29</v>
      </c>
      <c r="BD70" s="31">
        <v>40817</v>
      </c>
      <c r="BE70" s="9">
        <v>0</v>
      </c>
      <c r="BF70" s="67" t="e">
        <f>IF(BC70&lt;'DADOS DOS EMPREENDIMENTOS'!BE$11,0,IF(BC70='DADOS DOS EMPREENDIMENTOS'!BE$11,SUM(BE$41:BE70)*(1-'DADOS DOS EMPREENDIMENTOS'!#REF!-'DADOS DOS EMPREENDIMENTOS'!#REF!)+'DADOS DOS EMPREENDIMENTOS'!#REF!,IF(BC70='DADOS DOS EMPREENDIMENTOS'!#REF!,'DADOS DOS EMPREENDIMENTOS'!#REF!,BE70*(1-'DADOS DOS EMPREENDIMENTOS'!#REF!-'DADOS DOS EMPREENDIMENTOS'!#REF!))))</f>
        <v>#REF!</v>
      </c>
      <c r="BH70" s="52">
        <v>29</v>
      </c>
      <c r="BI70" s="31">
        <v>40817</v>
      </c>
      <c r="BJ70" s="9">
        <v>0</v>
      </c>
      <c r="BK70" s="67" t="e">
        <f>IF(BH70&lt;'DADOS DOS EMPREENDIMENTOS'!BJ$11,0,IF(BH70='DADOS DOS EMPREENDIMENTOS'!BJ$11,SUM(BJ$41:BJ70)*(1-'DADOS DOS EMPREENDIMENTOS'!#REF!-'DADOS DOS EMPREENDIMENTOS'!#REF!)+'DADOS DOS EMPREENDIMENTOS'!#REF!,IF(BH70='DADOS DOS EMPREENDIMENTOS'!#REF!,'DADOS DOS EMPREENDIMENTOS'!#REF!,BJ70*(1-'DADOS DOS EMPREENDIMENTOS'!#REF!-'DADOS DOS EMPREENDIMENTOS'!#REF!))))</f>
        <v>#REF!</v>
      </c>
      <c r="BM70" s="52">
        <v>29</v>
      </c>
      <c r="BN70" s="31">
        <v>40817</v>
      </c>
      <c r="BO70" s="9">
        <v>0</v>
      </c>
      <c r="BP70" s="67" t="e">
        <f>IF(BM70&lt;'DADOS DOS EMPREENDIMENTOS'!BO$11,0,IF(BM70='DADOS DOS EMPREENDIMENTOS'!BO$11,SUM(BO$41:BO70)*(1-'DADOS DOS EMPREENDIMENTOS'!#REF!-'DADOS DOS EMPREENDIMENTOS'!#REF!)+'DADOS DOS EMPREENDIMENTOS'!#REF!,IF(BM70='DADOS DOS EMPREENDIMENTOS'!BO$12,'DADOS DOS EMPREENDIMENTOS'!#REF!,BO70*(1-'DADOS DOS EMPREENDIMENTOS'!#REF!-'DADOS DOS EMPREENDIMENTOS'!#REF!))))</f>
        <v>#REF!</v>
      </c>
      <c r="BR70" s="52">
        <v>29</v>
      </c>
      <c r="BS70" s="31">
        <v>40817</v>
      </c>
      <c r="BT70" s="9">
        <v>0</v>
      </c>
      <c r="BU70" s="67" t="e">
        <f>IF(BR70&lt;'DADOS DOS EMPREENDIMENTOS'!BT$11,0,IF(BR70='DADOS DOS EMPREENDIMENTOS'!BT$11,SUM(BT$41:BT70)*(1-'DADOS DOS EMPREENDIMENTOS'!#REF!-'DADOS DOS EMPREENDIMENTOS'!#REF!)+'DADOS DOS EMPREENDIMENTOS'!#REF!,IF(BR70='DADOS DOS EMPREENDIMENTOS'!BT$12,'DADOS DOS EMPREENDIMENTOS'!#REF!,BT70*(1-'DADOS DOS EMPREENDIMENTOS'!#REF!-'DADOS DOS EMPREENDIMENTOS'!#REF!))))</f>
        <v>#REF!</v>
      </c>
      <c r="BW70" s="52">
        <v>29</v>
      </c>
      <c r="BX70" s="31">
        <v>40817</v>
      </c>
      <c r="BY70" s="9">
        <v>0</v>
      </c>
      <c r="BZ70" s="67" t="e">
        <f>IF(BW70&lt;'DADOS DOS EMPREENDIMENTOS'!BY$11,0,IF(BW70='DADOS DOS EMPREENDIMENTOS'!BY$11,SUM(BY$41:BY70)*(1-'DADOS DOS EMPREENDIMENTOS'!#REF!-'DADOS DOS EMPREENDIMENTOS'!#REF!)+'DADOS DOS EMPREENDIMENTOS'!#REF!,IF(BW70='DADOS DOS EMPREENDIMENTOS'!BY$12,'DADOS DOS EMPREENDIMENTOS'!#REF!,BY70*(1-'DADOS DOS EMPREENDIMENTOS'!#REF!-'DADOS DOS EMPREENDIMENTOS'!#REF!))))</f>
        <v>#REF!</v>
      </c>
      <c r="CB70" s="52">
        <v>29</v>
      </c>
      <c r="CC70" s="31">
        <v>40817</v>
      </c>
      <c r="CD70" s="9">
        <v>0</v>
      </c>
      <c r="CE70" s="67" t="e">
        <f>IF(CB70&lt;'DADOS DOS EMPREENDIMENTOS'!CD$11,0,IF(CB70='DADOS DOS EMPREENDIMENTOS'!CD$11,SUM(CD$41:CD70)*(1-'DADOS DOS EMPREENDIMENTOS'!#REF!-'DADOS DOS EMPREENDIMENTOS'!#REF!)+'DADOS DOS EMPREENDIMENTOS'!#REF!,IF(CB70='DADOS DOS EMPREENDIMENTOS'!CD$12,'DADOS DOS EMPREENDIMENTOS'!#REF!,CD70*(1-'DADOS DOS EMPREENDIMENTOS'!#REF!-'DADOS DOS EMPREENDIMENTOS'!#REF!))))</f>
        <v>#REF!</v>
      </c>
      <c r="CG70" s="52"/>
      <c r="CH70" s="31"/>
      <c r="CI70" s="9"/>
      <c r="CJ70" s="67"/>
    </row>
    <row r="71" spans="15:88" ht="12.75" customHeight="1" thickBot="1" x14ac:dyDescent="0.25">
      <c r="O71" s="45">
        <v>56</v>
      </c>
      <c r="P71" s="640" t="s">
        <v>371</v>
      </c>
      <c r="Q71" s="677">
        <f>VLOOKUP(P71,Apoio!C:E,2,0)</f>
        <v>245940</v>
      </c>
      <c r="R71" s="641" t="s">
        <v>316</v>
      </c>
      <c r="S71" s="378">
        <v>5</v>
      </c>
      <c r="T71" s="52">
        <v>30</v>
      </c>
      <c r="U71" s="31"/>
      <c r="V71" s="9"/>
      <c r="W71" s="67"/>
      <c r="Y71" s="52">
        <v>30</v>
      </c>
      <c r="Z71" s="31"/>
      <c r="AA71" s="9"/>
      <c r="AB71" s="67"/>
      <c r="AD71" s="52">
        <v>30</v>
      </c>
      <c r="AE71" s="31">
        <v>40848</v>
      </c>
      <c r="AF71" s="9">
        <v>0</v>
      </c>
      <c r="AG71" s="67" t="e">
        <f>IF(AD71&lt;'DADOS DOS EMPREENDIMENTOS'!AF$11,0,IF(AD71='DADOS DOS EMPREENDIMENTOS'!AF$11,SUM(AF$41:AF71)*(1-'DADOS DOS EMPREENDIMENTOS'!#REF!-'DADOS DOS EMPREENDIMENTOS'!#REF!)+'DADOS DOS EMPREENDIMENTOS'!#REF!,IF(AD71='DADOS DOS EMPREENDIMENTOS'!#REF!,'DADOS DOS EMPREENDIMENTOS'!#REF!,AF71*(1-'DADOS DOS EMPREENDIMENTOS'!#REF!-'DADOS DOS EMPREENDIMENTOS'!#REF!))))</f>
        <v>#REF!</v>
      </c>
      <c r="AI71" s="52">
        <v>30</v>
      </c>
      <c r="AJ71" s="31">
        <v>40848</v>
      </c>
      <c r="AK71" s="9">
        <v>0</v>
      </c>
      <c r="AL71" s="67" t="e">
        <f>IF(AI71&lt;'DADOS DOS EMPREENDIMENTOS'!AK$11,0,IF(AI71='DADOS DOS EMPREENDIMENTOS'!AK$11,SUM(AK$41:AK71)*(1-'DADOS DOS EMPREENDIMENTOS'!#REF!-'DADOS DOS EMPREENDIMENTOS'!#REF!)+'DADOS DOS EMPREENDIMENTOS'!#REF!,IF(AI71='DADOS DOS EMPREENDIMENTOS'!#REF!,'DADOS DOS EMPREENDIMENTOS'!#REF!,AK71*(1-'DADOS DOS EMPREENDIMENTOS'!#REF!-'DADOS DOS EMPREENDIMENTOS'!#REF!))))</f>
        <v>#REF!</v>
      </c>
      <c r="AN71" s="52">
        <v>30</v>
      </c>
      <c r="AO71" s="31">
        <v>40848</v>
      </c>
      <c r="AP71" s="9">
        <v>0</v>
      </c>
      <c r="AQ71" s="67" t="e">
        <f>IF(AN71&lt;'DADOS DOS EMPREENDIMENTOS'!AP$11,0,IF(AN71='DADOS DOS EMPREENDIMENTOS'!AP$11,SUM(AP$41:AP71)*(1-'DADOS DOS EMPREENDIMENTOS'!#REF!-'DADOS DOS EMPREENDIMENTOS'!#REF!)+'DADOS DOS EMPREENDIMENTOS'!#REF!,IF(AN71='DADOS DOS EMPREENDIMENTOS'!#REF!,'DADOS DOS EMPREENDIMENTOS'!#REF!,AP71*(1-'DADOS DOS EMPREENDIMENTOS'!#REF!-'DADOS DOS EMPREENDIMENTOS'!#REF!))))</f>
        <v>#REF!</v>
      </c>
      <c r="AS71" s="52">
        <v>30</v>
      </c>
      <c r="AT71" s="31">
        <v>40848</v>
      </c>
      <c r="AU71" s="9">
        <v>0</v>
      </c>
      <c r="AV71" s="67" t="e">
        <f>IF(AS71&lt;'DADOS DOS EMPREENDIMENTOS'!AU$11,0,IF(AS71='DADOS DOS EMPREENDIMENTOS'!AU$11,SUM(AU$41:AU71)*(1-'DADOS DOS EMPREENDIMENTOS'!#REF!-'DADOS DOS EMPREENDIMENTOS'!#REF!)+'DADOS DOS EMPREENDIMENTOS'!#REF!,IF(AS71='DADOS DOS EMPREENDIMENTOS'!#REF!,'DADOS DOS EMPREENDIMENTOS'!#REF!,AU71*(1-'DADOS DOS EMPREENDIMENTOS'!#REF!-'DADOS DOS EMPREENDIMENTOS'!#REF!))))</f>
        <v>#REF!</v>
      </c>
      <c r="AX71" s="52">
        <v>30</v>
      </c>
      <c r="AY71" s="31">
        <v>40848</v>
      </c>
      <c r="AZ71" s="9">
        <v>0</v>
      </c>
      <c r="BA71" s="67" t="e">
        <f>IF(AX71&lt;'DADOS DOS EMPREENDIMENTOS'!AZ$11,0,IF(AX71='DADOS DOS EMPREENDIMENTOS'!AZ$11,SUM(AZ$41:AZ71)*(1-'DADOS DOS EMPREENDIMENTOS'!#REF!-'DADOS DOS EMPREENDIMENTOS'!#REF!)+'DADOS DOS EMPREENDIMENTOS'!#REF!,IF(AX71='DADOS DOS EMPREENDIMENTOS'!#REF!,'DADOS DOS EMPREENDIMENTOS'!#REF!,AZ71*(1-'DADOS DOS EMPREENDIMENTOS'!#REF!-'DADOS DOS EMPREENDIMENTOS'!#REF!))))</f>
        <v>#REF!</v>
      </c>
      <c r="BC71" s="52">
        <v>30</v>
      </c>
      <c r="BD71" s="31">
        <v>40848</v>
      </c>
      <c r="BE71" s="9">
        <v>0</v>
      </c>
      <c r="BF71" s="67" t="e">
        <f>IF(BC71&lt;'DADOS DOS EMPREENDIMENTOS'!BE$11,0,IF(BC71='DADOS DOS EMPREENDIMENTOS'!BE$11,SUM(BE$41:BE71)*(1-'DADOS DOS EMPREENDIMENTOS'!#REF!-'DADOS DOS EMPREENDIMENTOS'!#REF!)+'DADOS DOS EMPREENDIMENTOS'!#REF!,IF(BC71='DADOS DOS EMPREENDIMENTOS'!#REF!,'DADOS DOS EMPREENDIMENTOS'!#REF!,BE71*(1-'DADOS DOS EMPREENDIMENTOS'!#REF!-'DADOS DOS EMPREENDIMENTOS'!#REF!))))</f>
        <v>#REF!</v>
      </c>
      <c r="BH71" s="52">
        <v>30</v>
      </c>
      <c r="BI71" s="31">
        <v>40848</v>
      </c>
      <c r="BJ71" s="9">
        <v>0</v>
      </c>
      <c r="BK71" s="67" t="e">
        <f>IF(BH71&lt;'DADOS DOS EMPREENDIMENTOS'!BJ$11,0,IF(BH71='DADOS DOS EMPREENDIMENTOS'!BJ$11,SUM(BJ$41:BJ71)*(1-'DADOS DOS EMPREENDIMENTOS'!#REF!-'DADOS DOS EMPREENDIMENTOS'!#REF!)+'DADOS DOS EMPREENDIMENTOS'!#REF!,IF(BH71='DADOS DOS EMPREENDIMENTOS'!#REF!,'DADOS DOS EMPREENDIMENTOS'!#REF!,BJ71*(1-'DADOS DOS EMPREENDIMENTOS'!#REF!-'DADOS DOS EMPREENDIMENTOS'!#REF!))))</f>
        <v>#REF!</v>
      </c>
      <c r="BM71" s="52">
        <v>30</v>
      </c>
      <c r="BN71" s="31">
        <v>40848</v>
      </c>
      <c r="BO71" s="9">
        <v>0</v>
      </c>
      <c r="BP71" s="67" t="e">
        <f>IF(BM71&lt;'DADOS DOS EMPREENDIMENTOS'!BO$11,0,IF(BM71='DADOS DOS EMPREENDIMENTOS'!BO$11,SUM(BO$41:BO71)*(1-'DADOS DOS EMPREENDIMENTOS'!#REF!-'DADOS DOS EMPREENDIMENTOS'!#REF!)+'DADOS DOS EMPREENDIMENTOS'!#REF!,IF(BM71='DADOS DOS EMPREENDIMENTOS'!BO$12,'DADOS DOS EMPREENDIMENTOS'!#REF!,BO71*(1-'DADOS DOS EMPREENDIMENTOS'!#REF!-'DADOS DOS EMPREENDIMENTOS'!#REF!))))</f>
        <v>#REF!</v>
      </c>
      <c r="BR71" s="52">
        <v>30</v>
      </c>
      <c r="BS71" s="31">
        <v>40848</v>
      </c>
      <c r="BT71" s="9">
        <v>0</v>
      </c>
      <c r="BU71" s="67" t="e">
        <f>IF(BR71&lt;'DADOS DOS EMPREENDIMENTOS'!BT$11,0,IF(BR71='DADOS DOS EMPREENDIMENTOS'!BT$11,SUM(BT$41:BT71)*(1-'DADOS DOS EMPREENDIMENTOS'!#REF!-'DADOS DOS EMPREENDIMENTOS'!#REF!)+'DADOS DOS EMPREENDIMENTOS'!#REF!,IF(BR71='DADOS DOS EMPREENDIMENTOS'!BT$12,'DADOS DOS EMPREENDIMENTOS'!#REF!,BT71*(1-'DADOS DOS EMPREENDIMENTOS'!#REF!-'DADOS DOS EMPREENDIMENTOS'!#REF!))))</f>
        <v>#REF!</v>
      </c>
      <c r="BW71" s="52">
        <v>30</v>
      </c>
      <c r="BX71" s="31">
        <v>40848</v>
      </c>
      <c r="BY71" s="9">
        <v>0</v>
      </c>
      <c r="BZ71" s="67" t="e">
        <f>IF(BW71&lt;'DADOS DOS EMPREENDIMENTOS'!BY$11,0,IF(BW71='DADOS DOS EMPREENDIMENTOS'!BY$11,SUM(BY$41:BY71)*(1-'DADOS DOS EMPREENDIMENTOS'!#REF!-'DADOS DOS EMPREENDIMENTOS'!#REF!)+'DADOS DOS EMPREENDIMENTOS'!#REF!,IF(BW71='DADOS DOS EMPREENDIMENTOS'!BY$12,'DADOS DOS EMPREENDIMENTOS'!#REF!,BY71*(1-'DADOS DOS EMPREENDIMENTOS'!#REF!-'DADOS DOS EMPREENDIMENTOS'!#REF!))))</f>
        <v>#REF!</v>
      </c>
      <c r="CB71" s="52">
        <v>30</v>
      </c>
      <c r="CC71" s="31">
        <v>40848</v>
      </c>
      <c r="CD71" s="9">
        <v>0</v>
      </c>
      <c r="CE71" s="67" t="e">
        <f>IF(CB71&lt;'DADOS DOS EMPREENDIMENTOS'!CD$11,0,IF(CB71='DADOS DOS EMPREENDIMENTOS'!CD$11,SUM(CD$41:CD71)*(1-'DADOS DOS EMPREENDIMENTOS'!#REF!-'DADOS DOS EMPREENDIMENTOS'!#REF!)+'DADOS DOS EMPREENDIMENTOS'!#REF!,IF(CB71='DADOS DOS EMPREENDIMENTOS'!CD$12,'DADOS DOS EMPREENDIMENTOS'!#REF!,CD71*(1-'DADOS DOS EMPREENDIMENTOS'!#REF!-'DADOS DOS EMPREENDIMENTOS'!#REF!))))</f>
        <v>#REF!</v>
      </c>
      <c r="CG71" s="52"/>
      <c r="CH71" s="31"/>
      <c r="CI71" s="9"/>
      <c r="CJ71" s="67"/>
    </row>
    <row r="72" spans="15:88" ht="12.75" customHeight="1" thickBot="1" x14ac:dyDescent="0.25">
      <c r="O72" s="43">
        <v>57</v>
      </c>
      <c r="P72" s="640" t="s">
        <v>372</v>
      </c>
      <c r="Q72" s="677">
        <f>VLOOKUP(P72,Apoio!C:E,2,0)</f>
        <v>245940</v>
      </c>
      <c r="R72" s="641" t="s">
        <v>316</v>
      </c>
      <c r="S72" s="378">
        <v>5</v>
      </c>
      <c r="T72" s="52">
        <v>31</v>
      </c>
      <c r="U72" s="31"/>
      <c r="V72" s="9"/>
      <c r="W72" s="67"/>
      <c r="Y72" s="52">
        <v>31</v>
      </c>
      <c r="Z72" s="31"/>
      <c r="AA72" s="9"/>
      <c r="AB72" s="67"/>
      <c r="AD72" s="52">
        <v>31</v>
      </c>
      <c r="AE72" s="31">
        <v>40878</v>
      </c>
      <c r="AF72" s="9">
        <v>0</v>
      </c>
      <c r="AG72" s="67" t="e">
        <f>IF(AD72&lt;'DADOS DOS EMPREENDIMENTOS'!AF$11,0,IF(AD72='DADOS DOS EMPREENDIMENTOS'!AF$11,SUM(AF$41:AF72)*(1-'DADOS DOS EMPREENDIMENTOS'!#REF!-'DADOS DOS EMPREENDIMENTOS'!#REF!)+'DADOS DOS EMPREENDIMENTOS'!#REF!,IF(AD72='DADOS DOS EMPREENDIMENTOS'!#REF!,'DADOS DOS EMPREENDIMENTOS'!#REF!,AF72*(1-'DADOS DOS EMPREENDIMENTOS'!#REF!-'DADOS DOS EMPREENDIMENTOS'!#REF!))))</f>
        <v>#REF!</v>
      </c>
      <c r="AI72" s="52">
        <v>31</v>
      </c>
      <c r="AJ72" s="31">
        <v>40878</v>
      </c>
      <c r="AK72" s="9">
        <v>0</v>
      </c>
      <c r="AL72" s="67" t="e">
        <f>IF(AI72&lt;'DADOS DOS EMPREENDIMENTOS'!AK$11,0,IF(AI72='DADOS DOS EMPREENDIMENTOS'!AK$11,SUM(AK$41:AK72)*(1-'DADOS DOS EMPREENDIMENTOS'!#REF!-'DADOS DOS EMPREENDIMENTOS'!#REF!)+'DADOS DOS EMPREENDIMENTOS'!#REF!,IF(AI72='DADOS DOS EMPREENDIMENTOS'!#REF!,'DADOS DOS EMPREENDIMENTOS'!#REF!,AK72*(1-'DADOS DOS EMPREENDIMENTOS'!#REF!-'DADOS DOS EMPREENDIMENTOS'!#REF!))))</f>
        <v>#REF!</v>
      </c>
      <c r="AN72" s="52">
        <v>31</v>
      </c>
      <c r="AO72" s="31">
        <v>40878</v>
      </c>
      <c r="AP72" s="9">
        <v>0</v>
      </c>
      <c r="AQ72" s="67" t="e">
        <f>IF(AN72&lt;'DADOS DOS EMPREENDIMENTOS'!AP$11,0,IF(AN72='DADOS DOS EMPREENDIMENTOS'!AP$11,SUM(AP$41:AP72)*(1-'DADOS DOS EMPREENDIMENTOS'!#REF!-'DADOS DOS EMPREENDIMENTOS'!#REF!)+'DADOS DOS EMPREENDIMENTOS'!#REF!,IF(AN72='DADOS DOS EMPREENDIMENTOS'!#REF!,'DADOS DOS EMPREENDIMENTOS'!#REF!,AP72*(1-'DADOS DOS EMPREENDIMENTOS'!#REF!-'DADOS DOS EMPREENDIMENTOS'!#REF!))))</f>
        <v>#REF!</v>
      </c>
      <c r="AS72" s="52">
        <v>31</v>
      </c>
      <c r="AT72" s="31">
        <v>40878</v>
      </c>
      <c r="AU72" s="9">
        <v>0</v>
      </c>
      <c r="AV72" s="67" t="e">
        <f>IF(AS72&lt;'DADOS DOS EMPREENDIMENTOS'!AU$11,0,IF(AS72='DADOS DOS EMPREENDIMENTOS'!AU$11,SUM(AU$41:AU72)*(1-'DADOS DOS EMPREENDIMENTOS'!#REF!-'DADOS DOS EMPREENDIMENTOS'!#REF!)+'DADOS DOS EMPREENDIMENTOS'!#REF!,IF(AS72='DADOS DOS EMPREENDIMENTOS'!#REF!,'DADOS DOS EMPREENDIMENTOS'!#REF!,AU72*(1-'DADOS DOS EMPREENDIMENTOS'!#REF!-'DADOS DOS EMPREENDIMENTOS'!#REF!))))</f>
        <v>#REF!</v>
      </c>
      <c r="AX72" s="52">
        <v>31</v>
      </c>
      <c r="AY72" s="31">
        <v>40878</v>
      </c>
      <c r="AZ72" s="9">
        <v>0</v>
      </c>
      <c r="BA72" s="67" t="e">
        <f>IF(AX72&lt;'DADOS DOS EMPREENDIMENTOS'!AZ$11,0,IF(AX72='DADOS DOS EMPREENDIMENTOS'!AZ$11,SUM(AZ$41:AZ72)*(1-'DADOS DOS EMPREENDIMENTOS'!#REF!-'DADOS DOS EMPREENDIMENTOS'!#REF!)+'DADOS DOS EMPREENDIMENTOS'!#REF!,IF(AX72='DADOS DOS EMPREENDIMENTOS'!#REF!,'DADOS DOS EMPREENDIMENTOS'!#REF!,AZ72*(1-'DADOS DOS EMPREENDIMENTOS'!#REF!-'DADOS DOS EMPREENDIMENTOS'!#REF!))))</f>
        <v>#REF!</v>
      </c>
      <c r="BC72" s="52">
        <v>31</v>
      </c>
      <c r="BD72" s="31">
        <v>40878</v>
      </c>
      <c r="BE72" s="9">
        <v>0</v>
      </c>
      <c r="BF72" s="67" t="e">
        <f>IF(BC72&lt;'DADOS DOS EMPREENDIMENTOS'!BE$11,0,IF(BC72='DADOS DOS EMPREENDIMENTOS'!BE$11,SUM(BE$41:BE72)*(1-'DADOS DOS EMPREENDIMENTOS'!#REF!-'DADOS DOS EMPREENDIMENTOS'!#REF!)+'DADOS DOS EMPREENDIMENTOS'!#REF!,IF(BC72='DADOS DOS EMPREENDIMENTOS'!#REF!,'DADOS DOS EMPREENDIMENTOS'!#REF!,BE72*(1-'DADOS DOS EMPREENDIMENTOS'!#REF!-'DADOS DOS EMPREENDIMENTOS'!#REF!))))</f>
        <v>#REF!</v>
      </c>
      <c r="BH72" s="52">
        <v>31</v>
      </c>
      <c r="BI72" s="31">
        <v>40878</v>
      </c>
      <c r="BJ72" s="9">
        <v>0</v>
      </c>
      <c r="BK72" s="67" t="e">
        <f>IF(BH72&lt;'DADOS DOS EMPREENDIMENTOS'!BJ$11,0,IF(BH72='DADOS DOS EMPREENDIMENTOS'!BJ$11,SUM(BJ$41:BJ72)*(1-'DADOS DOS EMPREENDIMENTOS'!#REF!-'DADOS DOS EMPREENDIMENTOS'!#REF!)+'DADOS DOS EMPREENDIMENTOS'!#REF!,IF(BH72='DADOS DOS EMPREENDIMENTOS'!#REF!,'DADOS DOS EMPREENDIMENTOS'!#REF!,BJ72*(1-'DADOS DOS EMPREENDIMENTOS'!#REF!-'DADOS DOS EMPREENDIMENTOS'!#REF!))))</f>
        <v>#REF!</v>
      </c>
      <c r="BM72" s="52">
        <v>31</v>
      </c>
      <c r="BN72" s="31">
        <v>40878</v>
      </c>
      <c r="BO72" s="9">
        <v>0</v>
      </c>
      <c r="BP72" s="67" t="e">
        <f>IF(BM72&lt;'DADOS DOS EMPREENDIMENTOS'!BO$11,0,IF(BM72='DADOS DOS EMPREENDIMENTOS'!BO$11,SUM(BO$41:BO72)*(1-'DADOS DOS EMPREENDIMENTOS'!#REF!-'DADOS DOS EMPREENDIMENTOS'!#REF!)+'DADOS DOS EMPREENDIMENTOS'!#REF!,IF(BM72='DADOS DOS EMPREENDIMENTOS'!BO$12,'DADOS DOS EMPREENDIMENTOS'!#REF!,BO72*(1-'DADOS DOS EMPREENDIMENTOS'!#REF!-'DADOS DOS EMPREENDIMENTOS'!#REF!))))</f>
        <v>#REF!</v>
      </c>
      <c r="BR72" s="52">
        <v>31</v>
      </c>
      <c r="BS72" s="31">
        <v>40878</v>
      </c>
      <c r="BT72" s="9">
        <v>0</v>
      </c>
      <c r="BU72" s="67" t="e">
        <f>IF(BR72&lt;'DADOS DOS EMPREENDIMENTOS'!BT$11,0,IF(BR72='DADOS DOS EMPREENDIMENTOS'!BT$11,SUM(BT$41:BT72)*(1-'DADOS DOS EMPREENDIMENTOS'!#REF!-'DADOS DOS EMPREENDIMENTOS'!#REF!)+'DADOS DOS EMPREENDIMENTOS'!#REF!,IF(BR72='DADOS DOS EMPREENDIMENTOS'!BT$12,'DADOS DOS EMPREENDIMENTOS'!#REF!,BT72*(1-'DADOS DOS EMPREENDIMENTOS'!#REF!-'DADOS DOS EMPREENDIMENTOS'!#REF!))))</f>
        <v>#REF!</v>
      </c>
      <c r="BW72" s="52">
        <v>31</v>
      </c>
      <c r="BX72" s="31">
        <v>40878</v>
      </c>
      <c r="BY72" s="9">
        <v>0</v>
      </c>
      <c r="BZ72" s="67" t="e">
        <f>IF(BW72&lt;'DADOS DOS EMPREENDIMENTOS'!BY$11,0,IF(BW72='DADOS DOS EMPREENDIMENTOS'!BY$11,SUM(BY$41:BY72)*(1-'DADOS DOS EMPREENDIMENTOS'!#REF!-'DADOS DOS EMPREENDIMENTOS'!#REF!)+'DADOS DOS EMPREENDIMENTOS'!#REF!,IF(BW72='DADOS DOS EMPREENDIMENTOS'!BY$12,'DADOS DOS EMPREENDIMENTOS'!#REF!,BY72*(1-'DADOS DOS EMPREENDIMENTOS'!#REF!-'DADOS DOS EMPREENDIMENTOS'!#REF!))))</f>
        <v>#REF!</v>
      </c>
      <c r="CB72" s="52">
        <v>31</v>
      </c>
      <c r="CC72" s="31">
        <v>40878</v>
      </c>
      <c r="CD72" s="9">
        <v>0</v>
      </c>
      <c r="CE72" s="67" t="e">
        <f>IF(CB72&lt;'DADOS DOS EMPREENDIMENTOS'!CD$11,0,IF(CB72='DADOS DOS EMPREENDIMENTOS'!CD$11,SUM(CD$41:CD72)*(1-'DADOS DOS EMPREENDIMENTOS'!#REF!-'DADOS DOS EMPREENDIMENTOS'!#REF!)+'DADOS DOS EMPREENDIMENTOS'!#REF!,IF(CB72='DADOS DOS EMPREENDIMENTOS'!CD$12,'DADOS DOS EMPREENDIMENTOS'!#REF!,CD72*(1-'DADOS DOS EMPREENDIMENTOS'!#REF!-'DADOS DOS EMPREENDIMENTOS'!#REF!))))</f>
        <v>#REF!</v>
      </c>
      <c r="CG72" s="52"/>
      <c r="CH72" s="31"/>
      <c r="CI72" s="9"/>
      <c r="CJ72" s="67"/>
    </row>
    <row r="73" spans="15:88" ht="12.75" customHeight="1" thickBot="1" x14ac:dyDescent="0.25">
      <c r="O73" s="45">
        <v>58</v>
      </c>
      <c r="P73" s="640" t="s">
        <v>373</v>
      </c>
      <c r="Q73" s="677">
        <f>VLOOKUP(P73,Apoio!C:E,2,0)</f>
        <v>246040</v>
      </c>
      <c r="R73" s="641" t="s">
        <v>316</v>
      </c>
      <c r="S73" s="378">
        <v>5</v>
      </c>
      <c r="T73" s="52">
        <v>32</v>
      </c>
      <c r="U73" s="31"/>
      <c r="V73" s="9"/>
      <c r="W73" s="67"/>
      <c r="Y73" s="52">
        <v>32</v>
      </c>
      <c r="Z73" s="31"/>
      <c r="AA73" s="9"/>
      <c r="AB73" s="67"/>
      <c r="AD73" s="52">
        <v>32</v>
      </c>
      <c r="AE73" s="31">
        <v>40909</v>
      </c>
      <c r="AF73" s="9">
        <v>0</v>
      </c>
      <c r="AG73" s="67" t="e">
        <f>IF(AD73&lt;'DADOS DOS EMPREENDIMENTOS'!AF$11,0,IF(AD73='DADOS DOS EMPREENDIMENTOS'!AF$11,SUM(AF$41:AF73)*(1-'DADOS DOS EMPREENDIMENTOS'!#REF!-'DADOS DOS EMPREENDIMENTOS'!#REF!)+'DADOS DOS EMPREENDIMENTOS'!#REF!,IF(AD73='DADOS DOS EMPREENDIMENTOS'!#REF!,'DADOS DOS EMPREENDIMENTOS'!#REF!,AF73*(1-'DADOS DOS EMPREENDIMENTOS'!#REF!-'DADOS DOS EMPREENDIMENTOS'!#REF!))))</f>
        <v>#REF!</v>
      </c>
      <c r="AI73" s="52">
        <v>32</v>
      </c>
      <c r="AJ73" s="31">
        <v>40909</v>
      </c>
      <c r="AK73" s="9">
        <v>0</v>
      </c>
      <c r="AL73" s="67" t="e">
        <f>IF(AI73&lt;'DADOS DOS EMPREENDIMENTOS'!AK$11,0,IF(AI73='DADOS DOS EMPREENDIMENTOS'!AK$11,SUM(AK$41:AK73)*(1-'DADOS DOS EMPREENDIMENTOS'!#REF!-'DADOS DOS EMPREENDIMENTOS'!#REF!)+'DADOS DOS EMPREENDIMENTOS'!#REF!,IF(AI73='DADOS DOS EMPREENDIMENTOS'!#REF!,'DADOS DOS EMPREENDIMENTOS'!#REF!,AK73*(1-'DADOS DOS EMPREENDIMENTOS'!#REF!-'DADOS DOS EMPREENDIMENTOS'!#REF!))))</f>
        <v>#REF!</v>
      </c>
      <c r="AN73" s="52">
        <v>32</v>
      </c>
      <c r="AO73" s="31">
        <v>40909</v>
      </c>
      <c r="AP73" s="9">
        <v>0</v>
      </c>
      <c r="AQ73" s="67" t="e">
        <f>IF(AN73&lt;'DADOS DOS EMPREENDIMENTOS'!AP$11,0,IF(AN73='DADOS DOS EMPREENDIMENTOS'!AP$11,SUM(AP$41:AP73)*(1-'DADOS DOS EMPREENDIMENTOS'!#REF!-'DADOS DOS EMPREENDIMENTOS'!#REF!)+'DADOS DOS EMPREENDIMENTOS'!#REF!,IF(AN73='DADOS DOS EMPREENDIMENTOS'!#REF!,'DADOS DOS EMPREENDIMENTOS'!#REF!,AP73*(1-'DADOS DOS EMPREENDIMENTOS'!#REF!-'DADOS DOS EMPREENDIMENTOS'!#REF!))))</f>
        <v>#REF!</v>
      </c>
      <c r="AS73" s="52">
        <v>32</v>
      </c>
      <c r="AT73" s="31">
        <v>40909</v>
      </c>
      <c r="AU73" s="9">
        <v>0</v>
      </c>
      <c r="AV73" s="67" t="e">
        <f>IF(AS73&lt;'DADOS DOS EMPREENDIMENTOS'!AU$11,0,IF(AS73='DADOS DOS EMPREENDIMENTOS'!AU$11,SUM(AU$41:AU73)*(1-'DADOS DOS EMPREENDIMENTOS'!#REF!-'DADOS DOS EMPREENDIMENTOS'!#REF!)+'DADOS DOS EMPREENDIMENTOS'!#REF!,IF(AS73='DADOS DOS EMPREENDIMENTOS'!#REF!,'DADOS DOS EMPREENDIMENTOS'!#REF!,AU73*(1-'DADOS DOS EMPREENDIMENTOS'!#REF!-'DADOS DOS EMPREENDIMENTOS'!#REF!))))</f>
        <v>#REF!</v>
      </c>
      <c r="AX73" s="52">
        <v>32</v>
      </c>
      <c r="AY73" s="31">
        <v>40909</v>
      </c>
      <c r="AZ73" s="9">
        <v>0</v>
      </c>
      <c r="BA73" s="67" t="e">
        <f>IF(AX73&lt;'DADOS DOS EMPREENDIMENTOS'!AZ$11,0,IF(AX73='DADOS DOS EMPREENDIMENTOS'!AZ$11,SUM(AZ$41:AZ73)*(1-'DADOS DOS EMPREENDIMENTOS'!#REF!-'DADOS DOS EMPREENDIMENTOS'!#REF!)+'DADOS DOS EMPREENDIMENTOS'!#REF!,IF(AX73='DADOS DOS EMPREENDIMENTOS'!#REF!,'DADOS DOS EMPREENDIMENTOS'!#REF!,AZ73*(1-'DADOS DOS EMPREENDIMENTOS'!#REF!-'DADOS DOS EMPREENDIMENTOS'!#REF!))))</f>
        <v>#REF!</v>
      </c>
      <c r="BC73" s="52">
        <v>32</v>
      </c>
      <c r="BD73" s="31">
        <v>40909</v>
      </c>
      <c r="BE73" s="9">
        <v>0</v>
      </c>
      <c r="BF73" s="67" t="e">
        <f>IF(BC73&lt;'DADOS DOS EMPREENDIMENTOS'!BE$11,0,IF(BC73='DADOS DOS EMPREENDIMENTOS'!BE$11,SUM(BE$41:BE73)*(1-'DADOS DOS EMPREENDIMENTOS'!#REF!-'DADOS DOS EMPREENDIMENTOS'!#REF!)+'DADOS DOS EMPREENDIMENTOS'!#REF!,IF(BC73='DADOS DOS EMPREENDIMENTOS'!#REF!,'DADOS DOS EMPREENDIMENTOS'!#REF!,BE73*(1-'DADOS DOS EMPREENDIMENTOS'!#REF!-'DADOS DOS EMPREENDIMENTOS'!#REF!))))</f>
        <v>#REF!</v>
      </c>
      <c r="BH73" s="52">
        <v>32</v>
      </c>
      <c r="BI73" s="31">
        <v>40909</v>
      </c>
      <c r="BJ73" s="9">
        <v>0</v>
      </c>
      <c r="BK73" s="67" t="e">
        <f>IF(BH73&lt;'DADOS DOS EMPREENDIMENTOS'!BJ$11,0,IF(BH73='DADOS DOS EMPREENDIMENTOS'!BJ$11,SUM(BJ$41:BJ73)*(1-'DADOS DOS EMPREENDIMENTOS'!#REF!-'DADOS DOS EMPREENDIMENTOS'!#REF!)+'DADOS DOS EMPREENDIMENTOS'!#REF!,IF(BH73='DADOS DOS EMPREENDIMENTOS'!#REF!,'DADOS DOS EMPREENDIMENTOS'!#REF!,BJ73*(1-'DADOS DOS EMPREENDIMENTOS'!#REF!-'DADOS DOS EMPREENDIMENTOS'!#REF!))))</f>
        <v>#REF!</v>
      </c>
      <c r="BM73" s="52">
        <v>32</v>
      </c>
      <c r="BN73" s="31">
        <v>40909</v>
      </c>
      <c r="BO73" s="9">
        <v>0</v>
      </c>
      <c r="BP73" s="67" t="e">
        <f>IF(BM73&lt;'DADOS DOS EMPREENDIMENTOS'!BO$11,0,IF(BM73='DADOS DOS EMPREENDIMENTOS'!BO$11,SUM(BO$41:BO73)*(1-'DADOS DOS EMPREENDIMENTOS'!#REF!-'DADOS DOS EMPREENDIMENTOS'!#REF!)+'DADOS DOS EMPREENDIMENTOS'!#REF!,IF(BM73='DADOS DOS EMPREENDIMENTOS'!BO$12,'DADOS DOS EMPREENDIMENTOS'!#REF!,BO73*(1-'DADOS DOS EMPREENDIMENTOS'!#REF!-'DADOS DOS EMPREENDIMENTOS'!#REF!))))</f>
        <v>#REF!</v>
      </c>
      <c r="BR73" s="52">
        <v>32</v>
      </c>
      <c r="BS73" s="31">
        <v>40909</v>
      </c>
      <c r="BT73" s="9">
        <v>0</v>
      </c>
      <c r="BU73" s="67" t="e">
        <f>IF(BR73&lt;'DADOS DOS EMPREENDIMENTOS'!BT$11,0,IF(BR73='DADOS DOS EMPREENDIMENTOS'!BT$11,SUM(BT$41:BT73)*(1-'DADOS DOS EMPREENDIMENTOS'!#REF!-'DADOS DOS EMPREENDIMENTOS'!#REF!)+'DADOS DOS EMPREENDIMENTOS'!#REF!,IF(BR73='DADOS DOS EMPREENDIMENTOS'!BT$12,'DADOS DOS EMPREENDIMENTOS'!#REF!,BT73*(1-'DADOS DOS EMPREENDIMENTOS'!#REF!-'DADOS DOS EMPREENDIMENTOS'!#REF!))))</f>
        <v>#REF!</v>
      </c>
      <c r="BW73" s="52">
        <v>32</v>
      </c>
      <c r="BX73" s="31">
        <v>40909</v>
      </c>
      <c r="BY73" s="9">
        <v>0</v>
      </c>
      <c r="BZ73" s="67" t="e">
        <f>IF(BW73&lt;'DADOS DOS EMPREENDIMENTOS'!BY$11,0,IF(BW73='DADOS DOS EMPREENDIMENTOS'!BY$11,SUM(BY$41:BY73)*(1-'DADOS DOS EMPREENDIMENTOS'!#REF!-'DADOS DOS EMPREENDIMENTOS'!#REF!)+'DADOS DOS EMPREENDIMENTOS'!#REF!,IF(BW73='DADOS DOS EMPREENDIMENTOS'!BY$12,'DADOS DOS EMPREENDIMENTOS'!#REF!,BY73*(1-'DADOS DOS EMPREENDIMENTOS'!#REF!-'DADOS DOS EMPREENDIMENTOS'!#REF!))))</f>
        <v>#REF!</v>
      </c>
      <c r="CB73" s="52">
        <v>32</v>
      </c>
      <c r="CC73" s="31">
        <v>40909</v>
      </c>
      <c r="CD73" s="9">
        <v>0</v>
      </c>
      <c r="CE73" s="67" t="e">
        <f>IF(CB73&lt;'DADOS DOS EMPREENDIMENTOS'!CD$11,0,IF(CB73='DADOS DOS EMPREENDIMENTOS'!CD$11,SUM(CD$41:CD73)*(1-'DADOS DOS EMPREENDIMENTOS'!#REF!-'DADOS DOS EMPREENDIMENTOS'!#REF!)+'DADOS DOS EMPREENDIMENTOS'!#REF!,IF(CB73='DADOS DOS EMPREENDIMENTOS'!CD$12,'DADOS DOS EMPREENDIMENTOS'!#REF!,CD73*(1-'DADOS DOS EMPREENDIMENTOS'!#REF!-'DADOS DOS EMPREENDIMENTOS'!#REF!))))</f>
        <v>#REF!</v>
      </c>
      <c r="CG73" s="52"/>
      <c r="CH73" s="31"/>
      <c r="CI73" s="9"/>
      <c r="CJ73" s="67"/>
    </row>
    <row r="74" spans="15:88" ht="12.75" customHeight="1" thickBot="1" x14ac:dyDescent="0.25">
      <c r="O74" s="43">
        <v>59</v>
      </c>
      <c r="P74" s="640" t="s">
        <v>374</v>
      </c>
      <c r="Q74" s="677">
        <f>VLOOKUP(P74,Apoio!C:E,2,0)</f>
        <v>246040</v>
      </c>
      <c r="R74" s="641" t="s">
        <v>316</v>
      </c>
      <c r="S74" s="378">
        <v>5</v>
      </c>
      <c r="T74" s="52">
        <v>33</v>
      </c>
      <c r="U74" s="31"/>
      <c r="V74" s="9"/>
      <c r="W74" s="67"/>
      <c r="Y74" s="52">
        <v>33</v>
      </c>
      <c r="Z74" s="31"/>
      <c r="AA74" s="9"/>
      <c r="AB74" s="67"/>
      <c r="AD74" s="52">
        <v>33</v>
      </c>
      <c r="AE74" s="31">
        <v>40940</v>
      </c>
      <c r="AF74" s="9">
        <v>0</v>
      </c>
      <c r="AG74" s="67" t="e">
        <f>IF(AD74&lt;'DADOS DOS EMPREENDIMENTOS'!AF$11,0,IF(AD74='DADOS DOS EMPREENDIMENTOS'!AF$11,SUM(AF$41:AF74)*(1-'DADOS DOS EMPREENDIMENTOS'!#REF!-'DADOS DOS EMPREENDIMENTOS'!#REF!)+'DADOS DOS EMPREENDIMENTOS'!#REF!,IF(AD74='DADOS DOS EMPREENDIMENTOS'!#REF!,'DADOS DOS EMPREENDIMENTOS'!#REF!,AF74*(1-'DADOS DOS EMPREENDIMENTOS'!#REF!-'DADOS DOS EMPREENDIMENTOS'!#REF!))))</f>
        <v>#REF!</v>
      </c>
      <c r="AI74" s="52">
        <v>33</v>
      </c>
      <c r="AJ74" s="31">
        <v>40940</v>
      </c>
      <c r="AK74" s="9">
        <v>0</v>
      </c>
      <c r="AL74" s="67" t="e">
        <f>IF(AI74&lt;'DADOS DOS EMPREENDIMENTOS'!AK$11,0,IF(AI74='DADOS DOS EMPREENDIMENTOS'!AK$11,SUM(AK$41:AK74)*(1-'DADOS DOS EMPREENDIMENTOS'!#REF!-'DADOS DOS EMPREENDIMENTOS'!#REF!)+'DADOS DOS EMPREENDIMENTOS'!#REF!,IF(AI74='DADOS DOS EMPREENDIMENTOS'!#REF!,'DADOS DOS EMPREENDIMENTOS'!#REF!,AK74*(1-'DADOS DOS EMPREENDIMENTOS'!#REF!-'DADOS DOS EMPREENDIMENTOS'!#REF!))))</f>
        <v>#REF!</v>
      </c>
      <c r="AN74" s="52">
        <v>33</v>
      </c>
      <c r="AO74" s="31">
        <v>40940</v>
      </c>
      <c r="AP74" s="9">
        <v>0</v>
      </c>
      <c r="AQ74" s="67" t="e">
        <f>IF(AN74&lt;'DADOS DOS EMPREENDIMENTOS'!AP$11,0,IF(AN74='DADOS DOS EMPREENDIMENTOS'!AP$11,SUM(AP$41:AP74)*(1-'DADOS DOS EMPREENDIMENTOS'!#REF!-'DADOS DOS EMPREENDIMENTOS'!#REF!)+'DADOS DOS EMPREENDIMENTOS'!#REF!,IF(AN74='DADOS DOS EMPREENDIMENTOS'!#REF!,'DADOS DOS EMPREENDIMENTOS'!#REF!,AP74*(1-'DADOS DOS EMPREENDIMENTOS'!#REF!-'DADOS DOS EMPREENDIMENTOS'!#REF!))))</f>
        <v>#REF!</v>
      </c>
      <c r="AS74" s="52">
        <v>33</v>
      </c>
      <c r="AT74" s="31">
        <v>40940</v>
      </c>
      <c r="AU74" s="9">
        <v>0</v>
      </c>
      <c r="AV74" s="67" t="e">
        <f>IF(AS74&lt;'DADOS DOS EMPREENDIMENTOS'!AU$11,0,IF(AS74='DADOS DOS EMPREENDIMENTOS'!AU$11,SUM(AU$41:AU74)*(1-'DADOS DOS EMPREENDIMENTOS'!#REF!-'DADOS DOS EMPREENDIMENTOS'!#REF!)+'DADOS DOS EMPREENDIMENTOS'!#REF!,IF(AS74='DADOS DOS EMPREENDIMENTOS'!#REF!,'DADOS DOS EMPREENDIMENTOS'!#REF!,AU74*(1-'DADOS DOS EMPREENDIMENTOS'!#REF!-'DADOS DOS EMPREENDIMENTOS'!#REF!))))</f>
        <v>#REF!</v>
      </c>
      <c r="AX74" s="52">
        <v>33</v>
      </c>
      <c r="AY74" s="31">
        <v>40940</v>
      </c>
      <c r="AZ74" s="9">
        <v>0</v>
      </c>
      <c r="BA74" s="67" t="e">
        <f>IF(AX74&lt;'DADOS DOS EMPREENDIMENTOS'!AZ$11,0,IF(AX74='DADOS DOS EMPREENDIMENTOS'!AZ$11,SUM(AZ$41:AZ74)*(1-'DADOS DOS EMPREENDIMENTOS'!#REF!-'DADOS DOS EMPREENDIMENTOS'!#REF!)+'DADOS DOS EMPREENDIMENTOS'!#REF!,IF(AX74='DADOS DOS EMPREENDIMENTOS'!#REF!,'DADOS DOS EMPREENDIMENTOS'!#REF!,AZ74*(1-'DADOS DOS EMPREENDIMENTOS'!#REF!-'DADOS DOS EMPREENDIMENTOS'!#REF!))))</f>
        <v>#REF!</v>
      </c>
      <c r="BC74" s="52">
        <v>33</v>
      </c>
      <c r="BD74" s="31">
        <v>40940</v>
      </c>
      <c r="BE74" s="9">
        <v>0</v>
      </c>
      <c r="BF74" s="67" t="e">
        <f>IF(BC74&lt;'DADOS DOS EMPREENDIMENTOS'!BE$11,0,IF(BC74='DADOS DOS EMPREENDIMENTOS'!BE$11,SUM(BE$41:BE74)*(1-'DADOS DOS EMPREENDIMENTOS'!#REF!-'DADOS DOS EMPREENDIMENTOS'!#REF!)+'DADOS DOS EMPREENDIMENTOS'!#REF!,IF(BC74='DADOS DOS EMPREENDIMENTOS'!#REF!,'DADOS DOS EMPREENDIMENTOS'!#REF!,BE74*(1-'DADOS DOS EMPREENDIMENTOS'!#REF!-'DADOS DOS EMPREENDIMENTOS'!#REF!))))</f>
        <v>#REF!</v>
      </c>
      <c r="BH74" s="52">
        <v>33</v>
      </c>
      <c r="BI74" s="31">
        <v>40940</v>
      </c>
      <c r="BJ74" s="9">
        <v>0</v>
      </c>
      <c r="BK74" s="67" t="e">
        <f>IF(BH74&lt;'DADOS DOS EMPREENDIMENTOS'!BJ$11,0,IF(BH74='DADOS DOS EMPREENDIMENTOS'!BJ$11,SUM(BJ$41:BJ74)*(1-'DADOS DOS EMPREENDIMENTOS'!#REF!-'DADOS DOS EMPREENDIMENTOS'!#REF!)+'DADOS DOS EMPREENDIMENTOS'!#REF!,IF(BH74='DADOS DOS EMPREENDIMENTOS'!#REF!,'DADOS DOS EMPREENDIMENTOS'!#REF!,BJ74*(1-'DADOS DOS EMPREENDIMENTOS'!#REF!-'DADOS DOS EMPREENDIMENTOS'!#REF!))))</f>
        <v>#REF!</v>
      </c>
      <c r="BM74" s="52">
        <v>33</v>
      </c>
      <c r="BN74" s="31">
        <v>40940</v>
      </c>
      <c r="BO74" s="9">
        <v>0</v>
      </c>
      <c r="BP74" s="67" t="e">
        <f>IF(BM74&lt;'DADOS DOS EMPREENDIMENTOS'!BO$11,0,IF(BM74='DADOS DOS EMPREENDIMENTOS'!BO$11,SUM(BO$41:BO74)*(1-'DADOS DOS EMPREENDIMENTOS'!#REF!-'DADOS DOS EMPREENDIMENTOS'!#REF!)+'DADOS DOS EMPREENDIMENTOS'!#REF!,IF(BM74='DADOS DOS EMPREENDIMENTOS'!BO$12,'DADOS DOS EMPREENDIMENTOS'!#REF!,BO74*(1-'DADOS DOS EMPREENDIMENTOS'!#REF!-'DADOS DOS EMPREENDIMENTOS'!#REF!))))</f>
        <v>#REF!</v>
      </c>
      <c r="BR74" s="52">
        <v>33</v>
      </c>
      <c r="BS74" s="31">
        <v>40940</v>
      </c>
      <c r="BT74" s="9">
        <v>0</v>
      </c>
      <c r="BU74" s="67" t="e">
        <f>IF(BR74&lt;'DADOS DOS EMPREENDIMENTOS'!BT$11,0,IF(BR74='DADOS DOS EMPREENDIMENTOS'!BT$11,SUM(BT$41:BT74)*(1-'DADOS DOS EMPREENDIMENTOS'!#REF!-'DADOS DOS EMPREENDIMENTOS'!#REF!)+'DADOS DOS EMPREENDIMENTOS'!#REF!,IF(BR74='DADOS DOS EMPREENDIMENTOS'!BT$12,'DADOS DOS EMPREENDIMENTOS'!#REF!,BT74*(1-'DADOS DOS EMPREENDIMENTOS'!#REF!-'DADOS DOS EMPREENDIMENTOS'!#REF!))))</f>
        <v>#REF!</v>
      </c>
      <c r="BW74" s="52">
        <v>33</v>
      </c>
      <c r="BX74" s="31">
        <v>40940</v>
      </c>
      <c r="BY74" s="9">
        <v>0</v>
      </c>
      <c r="BZ74" s="67" t="e">
        <f>IF(BW74&lt;'DADOS DOS EMPREENDIMENTOS'!BY$11,0,IF(BW74='DADOS DOS EMPREENDIMENTOS'!BY$11,SUM(BY$41:BY74)*(1-'DADOS DOS EMPREENDIMENTOS'!#REF!-'DADOS DOS EMPREENDIMENTOS'!#REF!)+'DADOS DOS EMPREENDIMENTOS'!#REF!,IF(BW74='DADOS DOS EMPREENDIMENTOS'!BY$12,'DADOS DOS EMPREENDIMENTOS'!#REF!,BY74*(1-'DADOS DOS EMPREENDIMENTOS'!#REF!-'DADOS DOS EMPREENDIMENTOS'!#REF!))))</f>
        <v>#REF!</v>
      </c>
      <c r="CB74" s="52">
        <v>33</v>
      </c>
      <c r="CC74" s="31">
        <v>40940</v>
      </c>
      <c r="CD74" s="9">
        <v>0</v>
      </c>
      <c r="CE74" s="67" t="e">
        <f>IF(CB74&lt;'DADOS DOS EMPREENDIMENTOS'!CD$11,0,IF(CB74='DADOS DOS EMPREENDIMENTOS'!CD$11,SUM(CD$41:CD74)*(1-'DADOS DOS EMPREENDIMENTOS'!#REF!-'DADOS DOS EMPREENDIMENTOS'!#REF!)+'DADOS DOS EMPREENDIMENTOS'!#REF!,IF(CB74='DADOS DOS EMPREENDIMENTOS'!CD$12,'DADOS DOS EMPREENDIMENTOS'!#REF!,CD74*(1-'DADOS DOS EMPREENDIMENTOS'!#REF!-'DADOS DOS EMPREENDIMENTOS'!#REF!))))</f>
        <v>#REF!</v>
      </c>
      <c r="CG74" s="52"/>
      <c r="CH74" s="31"/>
      <c r="CI74" s="9"/>
      <c r="CJ74" s="67"/>
    </row>
    <row r="75" spans="15:88" ht="12.75" customHeight="1" thickBot="1" x14ac:dyDescent="0.25">
      <c r="O75" s="45">
        <v>60</v>
      </c>
      <c r="P75" s="640" t="s">
        <v>375</v>
      </c>
      <c r="Q75" s="677">
        <f>VLOOKUP(P75,Apoio!C:E,2,0)</f>
        <v>245940</v>
      </c>
      <c r="R75" s="641" t="s">
        <v>316</v>
      </c>
      <c r="S75" s="378">
        <v>5</v>
      </c>
      <c r="T75" s="52">
        <v>34</v>
      </c>
      <c r="U75" s="31"/>
      <c r="V75" s="9"/>
      <c r="W75" s="67"/>
      <c r="Y75" s="52">
        <v>34</v>
      </c>
      <c r="Z75" s="31"/>
      <c r="AA75" s="9"/>
      <c r="AB75" s="67"/>
      <c r="AD75" s="52">
        <v>34</v>
      </c>
      <c r="AE75" s="31">
        <v>40969</v>
      </c>
      <c r="AF75" s="9">
        <v>0</v>
      </c>
      <c r="AG75" s="67" t="e">
        <f>IF(AD75&lt;'DADOS DOS EMPREENDIMENTOS'!AF$11,0,IF(AD75='DADOS DOS EMPREENDIMENTOS'!AF$11,SUM(AF$41:AF75)*(1-'DADOS DOS EMPREENDIMENTOS'!#REF!-'DADOS DOS EMPREENDIMENTOS'!#REF!)+'DADOS DOS EMPREENDIMENTOS'!#REF!,IF(AD75='DADOS DOS EMPREENDIMENTOS'!#REF!,'DADOS DOS EMPREENDIMENTOS'!#REF!,AF75*(1-'DADOS DOS EMPREENDIMENTOS'!#REF!-'DADOS DOS EMPREENDIMENTOS'!#REF!))))</f>
        <v>#REF!</v>
      </c>
      <c r="AI75" s="52">
        <v>34</v>
      </c>
      <c r="AJ75" s="31">
        <v>40969</v>
      </c>
      <c r="AK75" s="9">
        <v>0</v>
      </c>
      <c r="AL75" s="67" t="e">
        <f>IF(AI75&lt;'DADOS DOS EMPREENDIMENTOS'!AK$11,0,IF(AI75='DADOS DOS EMPREENDIMENTOS'!AK$11,SUM(AK$41:AK75)*(1-'DADOS DOS EMPREENDIMENTOS'!#REF!-'DADOS DOS EMPREENDIMENTOS'!#REF!)+'DADOS DOS EMPREENDIMENTOS'!#REF!,IF(AI75='DADOS DOS EMPREENDIMENTOS'!#REF!,'DADOS DOS EMPREENDIMENTOS'!#REF!,AK75*(1-'DADOS DOS EMPREENDIMENTOS'!#REF!-'DADOS DOS EMPREENDIMENTOS'!#REF!))))</f>
        <v>#REF!</v>
      </c>
      <c r="AN75" s="52">
        <v>34</v>
      </c>
      <c r="AO75" s="31">
        <v>40969</v>
      </c>
      <c r="AP75" s="9">
        <v>0</v>
      </c>
      <c r="AQ75" s="67" t="e">
        <f>IF(AN75&lt;'DADOS DOS EMPREENDIMENTOS'!AP$11,0,IF(AN75='DADOS DOS EMPREENDIMENTOS'!AP$11,SUM(AP$41:AP75)*(1-'DADOS DOS EMPREENDIMENTOS'!#REF!-'DADOS DOS EMPREENDIMENTOS'!#REF!)+'DADOS DOS EMPREENDIMENTOS'!#REF!,IF(AN75='DADOS DOS EMPREENDIMENTOS'!#REF!,'DADOS DOS EMPREENDIMENTOS'!#REF!,AP75*(1-'DADOS DOS EMPREENDIMENTOS'!#REF!-'DADOS DOS EMPREENDIMENTOS'!#REF!))))</f>
        <v>#REF!</v>
      </c>
      <c r="AS75" s="52">
        <v>34</v>
      </c>
      <c r="AT75" s="31">
        <v>40969</v>
      </c>
      <c r="AU75" s="9">
        <v>0</v>
      </c>
      <c r="AV75" s="67" t="e">
        <f>IF(AS75&lt;'DADOS DOS EMPREENDIMENTOS'!AU$11,0,IF(AS75='DADOS DOS EMPREENDIMENTOS'!AU$11,SUM(AU$41:AU75)*(1-'DADOS DOS EMPREENDIMENTOS'!#REF!-'DADOS DOS EMPREENDIMENTOS'!#REF!)+'DADOS DOS EMPREENDIMENTOS'!#REF!,IF(AS75='DADOS DOS EMPREENDIMENTOS'!#REF!,'DADOS DOS EMPREENDIMENTOS'!#REF!,AU75*(1-'DADOS DOS EMPREENDIMENTOS'!#REF!-'DADOS DOS EMPREENDIMENTOS'!#REF!))))</f>
        <v>#REF!</v>
      </c>
      <c r="AX75" s="52">
        <v>34</v>
      </c>
      <c r="AY75" s="31">
        <v>40969</v>
      </c>
      <c r="AZ75" s="9">
        <v>0</v>
      </c>
      <c r="BA75" s="67" t="e">
        <f>IF(AX75&lt;'DADOS DOS EMPREENDIMENTOS'!AZ$11,0,IF(AX75='DADOS DOS EMPREENDIMENTOS'!AZ$11,SUM(AZ$41:AZ75)*(1-'DADOS DOS EMPREENDIMENTOS'!#REF!-'DADOS DOS EMPREENDIMENTOS'!#REF!)+'DADOS DOS EMPREENDIMENTOS'!#REF!,IF(AX75='DADOS DOS EMPREENDIMENTOS'!#REF!,'DADOS DOS EMPREENDIMENTOS'!#REF!,AZ75*(1-'DADOS DOS EMPREENDIMENTOS'!#REF!-'DADOS DOS EMPREENDIMENTOS'!#REF!))))</f>
        <v>#REF!</v>
      </c>
      <c r="BC75" s="52">
        <v>34</v>
      </c>
      <c r="BD75" s="31">
        <v>40969</v>
      </c>
      <c r="BE75" s="9">
        <v>0</v>
      </c>
      <c r="BF75" s="67" t="e">
        <f>IF(BC75&lt;'DADOS DOS EMPREENDIMENTOS'!BE$11,0,IF(BC75='DADOS DOS EMPREENDIMENTOS'!BE$11,SUM(BE$41:BE75)*(1-'DADOS DOS EMPREENDIMENTOS'!#REF!-'DADOS DOS EMPREENDIMENTOS'!#REF!)+'DADOS DOS EMPREENDIMENTOS'!#REF!,IF(BC75='DADOS DOS EMPREENDIMENTOS'!#REF!,'DADOS DOS EMPREENDIMENTOS'!#REF!,BE75*(1-'DADOS DOS EMPREENDIMENTOS'!#REF!-'DADOS DOS EMPREENDIMENTOS'!#REF!))))</f>
        <v>#REF!</v>
      </c>
      <c r="BH75" s="52">
        <v>34</v>
      </c>
      <c r="BI75" s="31">
        <v>40969</v>
      </c>
      <c r="BJ75" s="9">
        <v>0</v>
      </c>
      <c r="BK75" s="67" t="e">
        <f>IF(BH75&lt;'DADOS DOS EMPREENDIMENTOS'!BJ$11,0,IF(BH75='DADOS DOS EMPREENDIMENTOS'!BJ$11,SUM(BJ$41:BJ75)*(1-'DADOS DOS EMPREENDIMENTOS'!#REF!-'DADOS DOS EMPREENDIMENTOS'!#REF!)+'DADOS DOS EMPREENDIMENTOS'!#REF!,IF(BH75='DADOS DOS EMPREENDIMENTOS'!#REF!,'DADOS DOS EMPREENDIMENTOS'!#REF!,BJ75*(1-'DADOS DOS EMPREENDIMENTOS'!#REF!-'DADOS DOS EMPREENDIMENTOS'!#REF!))))</f>
        <v>#REF!</v>
      </c>
      <c r="BM75" s="52">
        <v>34</v>
      </c>
      <c r="BN75" s="31">
        <v>40969</v>
      </c>
      <c r="BO75" s="9">
        <v>0</v>
      </c>
      <c r="BP75" s="67" t="e">
        <f>IF(BM75&lt;'DADOS DOS EMPREENDIMENTOS'!BO$11,0,IF(BM75='DADOS DOS EMPREENDIMENTOS'!BO$11,SUM(BO$41:BO75)*(1-'DADOS DOS EMPREENDIMENTOS'!#REF!-'DADOS DOS EMPREENDIMENTOS'!#REF!)+'DADOS DOS EMPREENDIMENTOS'!#REF!,IF(BM75='DADOS DOS EMPREENDIMENTOS'!BO$12,'DADOS DOS EMPREENDIMENTOS'!#REF!,BO75*(1-'DADOS DOS EMPREENDIMENTOS'!#REF!-'DADOS DOS EMPREENDIMENTOS'!#REF!))))</f>
        <v>#REF!</v>
      </c>
      <c r="BR75" s="52">
        <v>34</v>
      </c>
      <c r="BS75" s="31">
        <v>40969</v>
      </c>
      <c r="BT75" s="9">
        <v>0</v>
      </c>
      <c r="BU75" s="67" t="e">
        <f>IF(BR75&lt;'DADOS DOS EMPREENDIMENTOS'!BT$11,0,IF(BR75='DADOS DOS EMPREENDIMENTOS'!BT$11,SUM(BT$41:BT75)*(1-'DADOS DOS EMPREENDIMENTOS'!#REF!-'DADOS DOS EMPREENDIMENTOS'!#REF!)+'DADOS DOS EMPREENDIMENTOS'!#REF!,IF(BR75='DADOS DOS EMPREENDIMENTOS'!BT$12,'DADOS DOS EMPREENDIMENTOS'!#REF!,BT75*(1-'DADOS DOS EMPREENDIMENTOS'!#REF!-'DADOS DOS EMPREENDIMENTOS'!#REF!))))</f>
        <v>#REF!</v>
      </c>
      <c r="BW75" s="52">
        <v>34</v>
      </c>
      <c r="BX75" s="31">
        <v>40969</v>
      </c>
      <c r="BY75" s="9">
        <v>0</v>
      </c>
      <c r="BZ75" s="67" t="e">
        <f>IF(BW75&lt;'DADOS DOS EMPREENDIMENTOS'!BY$11,0,IF(BW75='DADOS DOS EMPREENDIMENTOS'!BY$11,SUM(BY$41:BY75)*(1-'DADOS DOS EMPREENDIMENTOS'!#REF!-'DADOS DOS EMPREENDIMENTOS'!#REF!)+'DADOS DOS EMPREENDIMENTOS'!#REF!,IF(BW75='DADOS DOS EMPREENDIMENTOS'!BY$12,'DADOS DOS EMPREENDIMENTOS'!#REF!,BY75*(1-'DADOS DOS EMPREENDIMENTOS'!#REF!-'DADOS DOS EMPREENDIMENTOS'!#REF!))))</f>
        <v>#REF!</v>
      </c>
      <c r="CB75" s="52">
        <v>34</v>
      </c>
      <c r="CC75" s="31">
        <v>40969</v>
      </c>
      <c r="CD75" s="9">
        <v>0</v>
      </c>
      <c r="CE75" s="67" t="e">
        <f>IF(CB75&lt;'DADOS DOS EMPREENDIMENTOS'!CD$11,0,IF(CB75='DADOS DOS EMPREENDIMENTOS'!CD$11,SUM(CD$41:CD75)*(1-'DADOS DOS EMPREENDIMENTOS'!#REF!-'DADOS DOS EMPREENDIMENTOS'!#REF!)+'DADOS DOS EMPREENDIMENTOS'!#REF!,IF(CB75='DADOS DOS EMPREENDIMENTOS'!CD$12,'DADOS DOS EMPREENDIMENTOS'!#REF!,CD75*(1-'DADOS DOS EMPREENDIMENTOS'!#REF!-'DADOS DOS EMPREENDIMENTOS'!#REF!))))</f>
        <v>#REF!</v>
      </c>
      <c r="CG75" s="52"/>
      <c r="CH75" s="31"/>
      <c r="CI75" s="9"/>
      <c r="CJ75" s="67"/>
    </row>
    <row r="76" spans="15:88" ht="12.75" customHeight="1" thickBot="1" x14ac:dyDescent="0.25">
      <c r="O76" s="43">
        <v>61</v>
      </c>
      <c r="P76" s="640" t="s">
        <v>376</v>
      </c>
      <c r="Q76" s="677">
        <f>VLOOKUP(P76,Apoio!C:E,2,0)</f>
        <v>245940</v>
      </c>
      <c r="R76" s="641" t="s">
        <v>316</v>
      </c>
      <c r="S76" s="378">
        <v>5</v>
      </c>
      <c r="T76" s="52">
        <v>35</v>
      </c>
      <c r="U76" s="31"/>
      <c r="V76" s="9"/>
      <c r="W76" s="67"/>
      <c r="Y76" s="52">
        <v>35</v>
      </c>
      <c r="Z76" s="31"/>
      <c r="AA76" s="9"/>
      <c r="AB76" s="67"/>
      <c r="AD76" s="52">
        <v>35</v>
      </c>
      <c r="AE76" s="31">
        <v>41000</v>
      </c>
      <c r="AF76" s="9">
        <v>0</v>
      </c>
      <c r="AG76" s="67" t="e">
        <f>IF(AD76&lt;'DADOS DOS EMPREENDIMENTOS'!AF$11,0,IF(AD76='DADOS DOS EMPREENDIMENTOS'!AF$11,SUM(AF$41:AF76)*(1-'DADOS DOS EMPREENDIMENTOS'!#REF!-'DADOS DOS EMPREENDIMENTOS'!#REF!)+'DADOS DOS EMPREENDIMENTOS'!#REF!,IF(AD76='DADOS DOS EMPREENDIMENTOS'!#REF!,'DADOS DOS EMPREENDIMENTOS'!#REF!,AF76*(1-'DADOS DOS EMPREENDIMENTOS'!#REF!-'DADOS DOS EMPREENDIMENTOS'!#REF!))))</f>
        <v>#REF!</v>
      </c>
      <c r="AI76" s="52">
        <v>35</v>
      </c>
      <c r="AJ76" s="31">
        <v>41000</v>
      </c>
      <c r="AK76" s="9">
        <v>0</v>
      </c>
      <c r="AL76" s="67" t="e">
        <f>IF(AI76&lt;'DADOS DOS EMPREENDIMENTOS'!AK$11,0,IF(AI76='DADOS DOS EMPREENDIMENTOS'!AK$11,SUM(AK$41:AK76)*(1-'DADOS DOS EMPREENDIMENTOS'!#REF!-'DADOS DOS EMPREENDIMENTOS'!#REF!)+'DADOS DOS EMPREENDIMENTOS'!#REF!,IF(AI76='DADOS DOS EMPREENDIMENTOS'!#REF!,'DADOS DOS EMPREENDIMENTOS'!#REF!,AK76*(1-'DADOS DOS EMPREENDIMENTOS'!#REF!-'DADOS DOS EMPREENDIMENTOS'!#REF!))))</f>
        <v>#REF!</v>
      </c>
      <c r="AN76" s="52">
        <v>35</v>
      </c>
      <c r="AO76" s="31">
        <v>41000</v>
      </c>
      <c r="AP76" s="9">
        <v>0</v>
      </c>
      <c r="AQ76" s="67" t="e">
        <f>IF(AN76&lt;'DADOS DOS EMPREENDIMENTOS'!AP$11,0,IF(AN76='DADOS DOS EMPREENDIMENTOS'!AP$11,SUM(AP$41:AP76)*(1-'DADOS DOS EMPREENDIMENTOS'!#REF!-'DADOS DOS EMPREENDIMENTOS'!#REF!)+'DADOS DOS EMPREENDIMENTOS'!#REF!,IF(AN76='DADOS DOS EMPREENDIMENTOS'!#REF!,'DADOS DOS EMPREENDIMENTOS'!#REF!,AP76*(1-'DADOS DOS EMPREENDIMENTOS'!#REF!-'DADOS DOS EMPREENDIMENTOS'!#REF!))))</f>
        <v>#REF!</v>
      </c>
      <c r="AS76" s="52">
        <v>35</v>
      </c>
      <c r="AT76" s="31">
        <v>41000</v>
      </c>
      <c r="AU76" s="9">
        <v>0</v>
      </c>
      <c r="AV76" s="67" t="e">
        <f>IF(AS76&lt;'DADOS DOS EMPREENDIMENTOS'!AU$11,0,IF(AS76='DADOS DOS EMPREENDIMENTOS'!AU$11,SUM(AU$41:AU76)*(1-'DADOS DOS EMPREENDIMENTOS'!#REF!-'DADOS DOS EMPREENDIMENTOS'!#REF!)+'DADOS DOS EMPREENDIMENTOS'!#REF!,IF(AS76='DADOS DOS EMPREENDIMENTOS'!#REF!,'DADOS DOS EMPREENDIMENTOS'!#REF!,AU76*(1-'DADOS DOS EMPREENDIMENTOS'!#REF!-'DADOS DOS EMPREENDIMENTOS'!#REF!))))</f>
        <v>#REF!</v>
      </c>
      <c r="AX76" s="52">
        <v>35</v>
      </c>
      <c r="AY76" s="31">
        <v>41000</v>
      </c>
      <c r="AZ76" s="9">
        <v>0</v>
      </c>
      <c r="BA76" s="67" t="e">
        <f>IF(AX76&lt;'DADOS DOS EMPREENDIMENTOS'!AZ$11,0,IF(AX76='DADOS DOS EMPREENDIMENTOS'!AZ$11,SUM(AZ$41:AZ76)*(1-'DADOS DOS EMPREENDIMENTOS'!#REF!-'DADOS DOS EMPREENDIMENTOS'!#REF!)+'DADOS DOS EMPREENDIMENTOS'!#REF!,IF(AX76='DADOS DOS EMPREENDIMENTOS'!#REF!,'DADOS DOS EMPREENDIMENTOS'!#REF!,AZ76*(1-'DADOS DOS EMPREENDIMENTOS'!#REF!-'DADOS DOS EMPREENDIMENTOS'!#REF!))))</f>
        <v>#REF!</v>
      </c>
      <c r="BC76" s="52">
        <v>35</v>
      </c>
      <c r="BD76" s="31">
        <v>41000</v>
      </c>
      <c r="BE76" s="9">
        <v>0</v>
      </c>
      <c r="BF76" s="67" t="e">
        <f>IF(BC76&lt;'DADOS DOS EMPREENDIMENTOS'!BE$11,0,IF(BC76='DADOS DOS EMPREENDIMENTOS'!BE$11,SUM(BE$41:BE76)*(1-'DADOS DOS EMPREENDIMENTOS'!#REF!-'DADOS DOS EMPREENDIMENTOS'!#REF!)+'DADOS DOS EMPREENDIMENTOS'!#REF!,IF(BC76='DADOS DOS EMPREENDIMENTOS'!#REF!,'DADOS DOS EMPREENDIMENTOS'!#REF!,BE76*(1-'DADOS DOS EMPREENDIMENTOS'!#REF!-'DADOS DOS EMPREENDIMENTOS'!#REF!))))</f>
        <v>#REF!</v>
      </c>
      <c r="BH76" s="52">
        <v>35</v>
      </c>
      <c r="BI76" s="31">
        <v>41000</v>
      </c>
      <c r="BJ76" s="9">
        <v>0</v>
      </c>
      <c r="BK76" s="67" t="e">
        <f>IF(BH76&lt;'DADOS DOS EMPREENDIMENTOS'!BJ$11,0,IF(BH76='DADOS DOS EMPREENDIMENTOS'!BJ$11,SUM(BJ$41:BJ76)*(1-'DADOS DOS EMPREENDIMENTOS'!#REF!-'DADOS DOS EMPREENDIMENTOS'!#REF!)+'DADOS DOS EMPREENDIMENTOS'!#REF!,IF(BH76='DADOS DOS EMPREENDIMENTOS'!#REF!,'DADOS DOS EMPREENDIMENTOS'!#REF!,BJ76*(1-'DADOS DOS EMPREENDIMENTOS'!#REF!-'DADOS DOS EMPREENDIMENTOS'!#REF!))))</f>
        <v>#REF!</v>
      </c>
      <c r="BM76" s="52">
        <v>35</v>
      </c>
      <c r="BN76" s="31">
        <v>41000</v>
      </c>
      <c r="BO76" s="9">
        <v>0</v>
      </c>
      <c r="BP76" s="67" t="e">
        <f>IF(BM76&lt;'DADOS DOS EMPREENDIMENTOS'!BO$11,0,IF(BM76='DADOS DOS EMPREENDIMENTOS'!BO$11,SUM(BO$41:BO76)*(1-'DADOS DOS EMPREENDIMENTOS'!#REF!-'DADOS DOS EMPREENDIMENTOS'!#REF!)+'DADOS DOS EMPREENDIMENTOS'!#REF!,IF(BM76='DADOS DOS EMPREENDIMENTOS'!BO$12,'DADOS DOS EMPREENDIMENTOS'!#REF!,BO76*(1-'DADOS DOS EMPREENDIMENTOS'!#REF!-'DADOS DOS EMPREENDIMENTOS'!#REF!))))</f>
        <v>#REF!</v>
      </c>
      <c r="BR76" s="52">
        <v>35</v>
      </c>
      <c r="BS76" s="31">
        <v>41000</v>
      </c>
      <c r="BT76" s="9">
        <v>0</v>
      </c>
      <c r="BU76" s="67" t="e">
        <f>IF(BR76&lt;'DADOS DOS EMPREENDIMENTOS'!BT$11,0,IF(BR76='DADOS DOS EMPREENDIMENTOS'!BT$11,SUM(BT$41:BT76)*(1-'DADOS DOS EMPREENDIMENTOS'!#REF!-'DADOS DOS EMPREENDIMENTOS'!#REF!)+'DADOS DOS EMPREENDIMENTOS'!#REF!,IF(BR76='DADOS DOS EMPREENDIMENTOS'!BT$12,'DADOS DOS EMPREENDIMENTOS'!#REF!,BT76*(1-'DADOS DOS EMPREENDIMENTOS'!#REF!-'DADOS DOS EMPREENDIMENTOS'!#REF!))))</f>
        <v>#REF!</v>
      </c>
      <c r="BW76" s="52">
        <v>35</v>
      </c>
      <c r="BX76" s="31">
        <v>41000</v>
      </c>
      <c r="BY76" s="9">
        <v>0</v>
      </c>
      <c r="BZ76" s="67" t="e">
        <f>IF(BW76&lt;'DADOS DOS EMPREENDIMENTOS'!BY$11,0,IF(BW76='DADOS DOS EMPREENDIMENTOS'!BY$11,SUM(BY$41:BY76)*(1-'DADOS DOS EMPREENDIMENTOS'!#REF!-'DADOS DOS EMPREENDIMENTOS'!#REF!)+'DADOS DOS EMPREENDIMENTOS'!#REF!,IF(BW76='DADOS DOS EMPREENDIMENTOS'!BY$12,'DADOS DOS EMPREENDIMENTOS'!#REF!,BY76*(1-'DADOS DOS EMPREENDIMENTOS'!#REF!-'DADOS DOS EMPREENDIMENTOS'!#REF!))))</f>
        <v>#REF!</v>
      </c>
      <c r="CB76" s="52">
        <v>35</v>
      </c>
      <c r="CC76" s="31">
        <v>41000</v>
      </c>
      <c r="CD76" s="9">
        <v>0</v>
      </c>
      <c r="CE76" s="67" t="e">
        <f>IF(CB76&lt;'DADOS DOS EMPREENDIMENTOS'!CD$11,0,IF(CB76='DADOS DOS EMPREENDIMENTOS'!CD$11,SUM(CD$41:CD76)*(1-'DADOS DOS EMPREENDIMENTOS'!#REF!-'DADOS DOS EMPREENDIMENTOS'!#REF!)+'DADOS DOS EMPREENDIMENTOS'!#REF!,IF(CB76='DADOS DOS EMPREENDIMENTOS'!CD$12,'DADOS DOS EMPREENDIMENTOS'!#REF!,CD76*(1-'DADOS DOS EMPREENDIMENTOS'!#REF!-'DADOS DOS EMPREENDIMENTOS'!#REF!))))</f>
        <v>#REF!</v>
      </c>
      <c r="CG76" s="52"/>
      <c r="CH76" s="31"/>
      <c r="CI76" s="9"/>
      <c r="CJ76" s="67"/>
    </row>
    <row r="77" spans="15:88" ht="12.75" customHeight="1" thickBot="1" x14ac:dyDescent="0.25">
      <c r="O77" s="45">
        <v>62</v>
      </c>
      <c r="P77" s="640" t="s">
        <v>377</v>
      </c>
      <c r="Q77" s="677">
        <f>VLOOKUP(P77,Apoio!C:E,2,0)</f>
        <v>246030</v>
      </c>
      <c r="R77" s="641" t="s">
        <v>316</v>
      </c>
      <c r="S77" s="378">
        <v>5</v>
      </c>
      <c r="T77" s="52">
        <v>36</v>
      </c>
      <c r="U77" s="31"/>
      <c r="V77" s="9"/>
      <c r="W77" s="67"/>
      <c r="Y77" s="52">
        <v>36</v>
      </c>
      <c r="Z77" s="31"/>
      <c r="AA77" s="9"/>
      <c r="AB77" s="67"/>
      <c r="AD77" s="52">
        <v>36</v>
      </c>
      <c r="AE77" s="31">
        <v>41030</v>
      </c>
      <c r="AF77" s="9">
        <v>0</v>
      </c>
      <c r="AG77" s="67" t="e">
        <f>IF(AD77&lt;'DADOS DOS EMPREENDIMENTOS'!AF$11,0,IF(AD77='DADOS DOS EMPREENDIMENTOS'!AF$11,SUM(AF$41:AF77)*(1-'DADOS DOS EMPREENDIMENTOS'!#REF!-'DADOS DOS EMPREENDIMENTOS'!#REF!)+'DADOS DOS EMPREENDIMENTOS'!#REF!,IF(AD77='DADOS DOS EMPREENDIMENTOS'!#REF!,'DADOS DOS EMPREENDIMENTOS'!#REF!,AF77*(1-'DADOS DOS EMPREENDIMENTOS'!#REF!-'DADOS DOS EMPREENDIMENTOS'!#REF!))))</f>
        <v>#REF!</v>
      </c>
      <c r="AI77" s="52">
        <v>36</v>
      </c>
      <c r="AJ77" s="31">
        <v>41030</v>
      </c>
      <c r="AK77" s="9">
        <v>0</v>
      </c>
      <c r="AL77" s="67" t="e">
        <f>IF(AI77&lt;'DADOS DOS EMPREENDIMENTOS'!AK$11,0,IF(AI77='DADOS DOS EMPREENDIMENTOS'!AK$11,SUM(AK$41:AK77)*(1-'DADOS DOS EMPREENDIMENTOS'!#REF!-'DADOS DOS EMPREENDIMENTOS'!#REF!)+'DADOS DOS EMPREENDIMENTOS'!#REF!,IF(AI77='DADOS DOS EMPREENDIMENTOS'!#REF!,'DADOS DOS EMPREENDIMENTOS'!#REF!,AK77*(1-'DADOS DOS EMPREENDIMENTOS'!#REF!-'DADOS DOS EMPREENDIMENTOS'!#REF!))))</f>
        <v>#REF!</v>
      </c>
      <c r="AN77" s="52">
        <v>36</v>
      </c>
      <c r="AO77" s="31">
        <v>41030</v>
      </c>
      <c r="AP77" s="9">
        <v>0</v>
      </c>
      <c r="AQ77" s="67" t="e">
        <f>IF(AN77&lt;'DADOS DOS EMPREENDIMENTOS'!AP$11,0,IF(AN77='DADOS DOS EMPREENDIMENTOS'!AP$11,SUM(AP$41:AP77)*(1-'DADOS DOS EMPREENDIMENTOS'!#REF!-'DADOS DOS EMPREENDIMENTOS'!#REF!)+'DADOS DOS EMPREENDIMENTOS'!#REF!,IF(AN77='DADOS DOS EMPREENDIMENTOS'!#REF!,'DADOS DOS EMPREENDIMENTOS'!#REF!,AP77*(1-'DADOS DOS EMPREENDIMENTOS'!#REF!-'DADOS DOS EMPREENDIMENTOS'!#REF!))))</f>
        <v>#REF!</v>
      </c>
      <c r="AS77" s="52">
        <v>36</v>
      </c>
      <c r="AT77" s="31">
        <v>41030</v>
      </c>
      <c r="AU77" s="9">
        <v>0</v>
      </c>
      <c r="AV77" s="67" t="e">
        <f>IF(AS77&lt;'DADOS DOS EMPREENDIMENTOS'!AU$11,0,IF(AS77='DADOS DOS EMPREENDIMENTOS'!AU$11,SUM(AU$41:AU77)*(1-'DADOS DOS EMPREENDIMENTOS'!#REF!-'DADOS DOS EMPREENDIMENTOS'!#REF!)+'DADOS DOS EMPREENDIMENTOS'!#REF!,IF(AS77='DADOS DOS EMPREENDIMENTOS'!#REF!,'DADOS DOS EMPREENDIMENTOS'!#REF!,AU77*(1-'DADOS DOS EMPREENDIMENTOS'!#REF!-'DADOS DOS EMPREENDIMENTOS'!#REF!))))</f>
        <v>#REF!</v>
      </c>
      <c r="AX77" s="52">
        <v>36</v>
      </c>
      <c r="AY77" s="31">
        <v>41030</v>
      </c>
      <c r="AZ77" s="9">
        <v>0</v>
      </c>
      <c r="BA77" s="67" t="e">
        <f>IF(AX77&lt;'DADOS DOS EMPREENDIMENTOS'!AZ$11,0,IF(AX77='DADOS DOS EMPREENDIMENTOS'!AZ$11,SUM(AZ$41:AZ77)*(1-'DADOS DOS EMPREENDIMENTOS'!#REF!-'DADOS DOS EMPREENDIMENTOS'!#REF!)+'DADOS DOS EMPREENDIMENTOS'!#REF!,IF(AX77='DADOS DOS EMPREENDIMENTOS'!#REF!,'DADOS DOS EMPREENDIMENTOS'!#REF!,AZ77*(1-'DADOS DOS EMPREENDIMENTOS'!#REF!-'DADOS DOS EMPREENDIMENTOS'!#REF!))))</f>
        <v>#REF!</v>
      </c>
      <c r="BC77" s="52">
        <v>36</v>
      </c>
      <c r="BD77" s="31">
        <v>41030</v>
      </c>
      <c r="BE77" s="9">
        <v>0</v>
      </c>
      <c r="BF77" s="67" t="e">
        <f>IF(BC77&lt;'DADOS DOS EMPREENDIMENTOS'!BE$11,0,IF(BC77='DADOS DOS EMPREENDIMENTOS'!BE$11,SUM(BE$41:BE77)*(1-'DADOS DOS EMPREENDIMENTOS'!#REF!-'DADOS DOS EMPREENDIMENTOS'!#REF!)+'DADOS DOS EMPREENDIMENTOS'!#REF!,IF(BC77='DADOS DOS EMPREENDIMENTOS'!#REF!,'DADOS DOS EMPREENDIMENTOS'!#REF!,BE77*(1-'DADOS DOS EMPREENDIMENTOS'!#REF!-'DADOS DOS EMPREENDIMENTOS'!#REF!))))</f>
        <v>#REF!</v>
      </c>
      <c r="BH77" s="52">
        <v>36</v>
      </c>
      <c r="BI77" s="31">
        <v>41030</v>
      </c>
      <c r="BJ77" s="9">
        <v>0</v>
      </c>
      <c r="BK77" s="67" t="e">
        <f>IF(BH77&lt;'DADOS DOS EMPREENDIMENTOS'!BJ$11,0,IF(BH77='DADOS DOS EMPREENDIMENTOS'!BJ$11,SUM(BJ$41:BJ77)*(1-'DADOS DOS EMPREENDIMENTOS'!#REF!-'DADOS DOS EMPREENDIMENTOS'!#REF!)+'DADOS DOS EMPREENDIMENTOS'!#REF!,IF(BH77='DADOS DOS EMPREENDIMENTOS'!#REF!,'DADOS DOS EMPREENDIMENTOS'!#REF!,BJ77*(1-'DADOS DOS EMPREENDIMENTOS'!#REF!-'DADOS DOS EMPREENDIMENTOS'!#REF!))))</f>
        <v>#REF!</v>
      </c>
      <c r="BM77" s="52">
        <v>36</v>
      </c>
      <c r="BN77" s="31">
        <v>41030</v>
      </c>
      <c r="BO77" s="9">
        <v>0</v>
      </c>
      <c r="BP77" s="67" t="e">
        <f>IF(BM77&lt;'DADOS DOS EMPREENDIMENTOS'!BO$11,0,IF(BM77='DADOS DOS EMPREENDIMENTOS'!BO$11,SUM(BO$41:BO77)*(1-'DADOS DOS EMPREENDIMENTOS'!#REF!-'DADOS DOS EMPREENDIMENTOS'!#REF!)+'DADOS DOS EMPREENDIMENTOS'!#REF!,IF(BM77='DADOS DOS EMPREENDIMENTOS'!BO$12,'DADOS DOS EMPREENDIMENTOS'!#REF!,BO77*(1-'DADOS DOS EMPREENDIMENTOS'!#REF!-'DADOS DOS EMPREENDIMENTOS'!#REF!))))</f>
        <v>#REF!</v>
      </c>
      <c r="BR77" s="52">
        <v>36</v>
      </c>
      <c r="BS77" s="31">
        <v>41030</v>
      </c>
      <c r="BT77" s="9">
        <v>0</v>
      </c>
      <c r="BU77" s="67" t="e">
        <f>IF(BR77&lt;'DADOS DOS EMPREENDIMENTOS'!BT$11,0,IF(BR77='DADOS DOS EMPREENDIMENTOS'!BT$11,SUM(BT$41:BT77)*(1-'DADOS DOS EMPREENDIMENTOS'!#REF!-'DADOS DOS EMPREENDIMENTOS'!#REF!)+'DADOS DOS EMPREENDIMENTOS'!#REF!,IF(BR77='DADOS DOS EMPREENDIMENTOS'!BT$12,'DADOS DOS EMPREENDIMENTOS'!#REF!,BT77*(1-'DADOS DOS EMPREENDIMENTOS'!#REF!-'DADOS DOS EMPREENDIMENTOS'!#REF!))))</f>
        <v>#REF!</v>
      </c>
      <c r="BW77" s="52">
        <v>36</v>
      </c>
      <c r="BX77" s="31">
        <v>41030</v>
      </c>
      <c r="BY77" s="9">
        <v>0</v>
      </c>
      <c r="BZ77" s="67" t="e">
        <f>IF(BW77&lt;'DADOS DOS EMPREENDIMENTOS'!BY$11,0,IF(BW77='DADOS DOS EMPREENDIMENTOS'!BY$11,SUM(BY$41:BY77)*(1-'DADOS DOS EMPREENDIMENTOS'!#REF!-'DADOS DOS EMPREENDIMENTOS'!#REF!)+'DADOS DOS EMPREENDIMENTOS'!#REF!,IF(BW77='DADOS DOS EMPREENDIMENTOS'!BY$12,'DADOS DOS EMPREENDIMENTOS'!#REF!,BY77*(1-'DADOS DOS EMPREENDIMENTOS'!#REF!-'DADOS DOS EMPREENDIMENTOS'!#REF!))))</f>
        <v>#REF!</v>
      </c>
      <c r="CB77" s="52">
        <v>36</v>
      </c>
      <c r="CC77" s="31">
        <v>41030</v>
      </c>
      <c r="CD77" s="9">
        <v>0</v>
      </c>
      <c r="CE77" s="67" t="e">
        <f>IF(CB77&lt;'DADOS DOS EMPREENDIMENTOS'!CD$11,0,IF(CB77='DADOS DOS EMPREENDIMENTOS'!CD$11,SUM(CD$41:CD77)*(1-'DADOS DOS EMPREENDIMENTOS'!#REF!-'DADOS DOS EMPREENDIMENTOS'!#REF!)+'DADOS DOS EMPREENDIMENTOS'!#REF!,IF(CB77='DADOS DOS EMPREENDIMENTOS'!CD$12,'DADOS DOS EMPREENDIMENTOS'!#REF!,CD77*(1-'DADOS DOS EMPREENDIMENTOS'!#REF!-'DADOS DOS EMPREENDIMENTOS'!#REF!))))</f>
        <v>#REF!</v>
      </c>
      <c r="CG77" s="52"/>
      <c r="CH77" s="31"/>
      <c r="CI77" s="9"/>
      <c r="CJ77" s="67"/>
    </row>
    <row r="78" spans="15:88" ht="12.75" customHeight="1" thickBot="1" x14ac:dyDescent="0.25">
      <c r="O78" s="43">
        <v>63</v>
      </c>
      <c r="P78" s="640" t="s">
        <v>378</v>
      </c>
      <c r="Q78" s="677">
        <f>VLOOKUP(P78,Apoio!C:E,2,0)</f>
        <v>246030</v>
      </c>
      <c r="R78" s="641" t="s">
        <v>316</v>
      </c>
      <c r="S78" s="378">
        <v>5</v>
      </c>
      <c r="T78" s="52">
        <v>37</v>
      </c>
      <c r="U78" s="31"/>
      <c r="V78" s="9"/>
      <c r="W78" s="67"/>
      <c r="Y78" s="52">
        <v>37</v>
      </c>
      <c r="Z78" s="31"/>
      <c r="AA78" s="9"/>
      <c r="AB78" s="67"/>
      <c r="AD78" s="52">
        <v>37</v>
      </c>
      <c r="AE78" s="31">
        <v>41061</v>
      </c>
      <c r="AF78" s="9">
        <v>0</v>
      </c>
      <c r="AG78" s="67" t="e">
        <f>IF(AD78&lt;'DADOS DOS EMPREENDIMENTOS'!AF$11,0,IF(AD78='DADOS DOS EMPREENDIMENTOS'!AF$11,SUM(AF$41:AF78)*(1-'DADOS DOS EMPREENDIMENTOS'!#REF!-'DADOS DOS EMPREENDIMENTOS'!#REF!)+'DADOS DOS EMPREENDIMENTOS'!#REF!,IF(AD78='DADOS DOS EMPREENDIMENTOS'!#REF!,'DADOS DOS EMPREENDIMENTOS'!#REF!,AF78*(1-'DADOS DOS EMPREENDIMENTOS'!#REF!-'DADOS DOS EMPREENDIMENTOS'!#REF!))))</f>
        <v>#REF!</v>
      </c>
      <c r="AI78" s="52">
        <v>37</v>
      </c>
      <c r="AJ78" s="31">
        <v>41061</v>
      </c>
      <c r="AK78" s="9">
        <v>0</v>
      </c>
      <c r="AL78" s="67" t="e">
        <f>IF(AI78&lt;'DADOS DOS EMPREENDIMENTOS'!AK$11,0,IF(AI78='DADOS DOS EMPREENDIMENTOS'!AK$11,SUM(AK$41:AK78)*(1-'DADOS DOS EMPREENDIMENTOS'!#REF!-'DADOS DOS EMPREENDIMENTOS'!#REF!)+'DADOS DOS EMPREENDIMENTOS'!#REF!,IF(AI78='DADOS DOS EMPREENDIMENTOS'!#REF!,'DADOS DOS EMPREENDIMENTOS'!#REF!,AK78*(1-'DADOS DOS EMPREENDIMENTOS'!#REF!-'DADOS DOS EMPREENDIMENTOS'!#REF!))))</f>
        <v>#REF!</v>
      </c>
      <c r="AN78" s="52">
        <v>37</v>
      </c>
      <c r="AO78" s="31">
        <v>41061</v>
      </c>
      <c r="AP78" s="9">
        <v>0</v>
      </c>
      <c r="AQ78" s="67" t="e">
        <f>IF(AN78&lt;'DADOS DOS EMPREENDIMENTOS'!AP$11,0,IF(AN78='DADOS DOS EMPREENDIMENTOS'!AP$11,SUM(AP$41:AP78)*(1-'DADOS DOS EMPREENDIMENTOS'!#REF!-'DADOS DOS EMPREENDIMENTOS'!#REF!)+'DADOS DOS EMPREENDIMENTOS'!#REF!,IF(AN78='DADOS DOS EMPREENDIMENTOS'!#REF!,'DADOS DOS EMPREENDIMENTOS'!#REF!,AP78*(1-'DADOS DOS EMPREENDIMENTOS'!#REF!-'DADOS DOS EMPREENDIMENTOS'!#REF!))))</f>
        <v>#REF!</v>
      </c>
      <c r="AS78" s="52">
        <v>37</v>
      </c>
      <c r="AT78" s="31">
        <v>41061</v>
      </c>
      <c r="AU78" s="9">
        <v>0</v>
      </c>
      <c r="AV78" s="67" t="e">
        <f>IF(AS78&lt;'DADOS DOS EMPREENDIMENTOS'!AU$11,0,IF(AS78='DADOS DOS EMPREENDIMENTOS'!AU$11,SUM(AU$41:AU78)*(1-'DADOS DOS EMPREENDIMENTOS'!#REF!-'DADOS DOS EMPREENDIMENTOS'!#REF!)+'DADOS DOS EMPREENDIMENTOS'!#REF!,IF(AS78='DADOS DOS EMPREENDIMENTOS'!#REF!,'DADOS DOS EMPREENDIMENTOS'!#REF!,AU78*(1-'DADOS DOS EMPREENDIMENTOS'!#REF!-'DADOS DOS EMPREENDIMENTOS'!#REF!))))</f>
        <v>#REF!</v>
      </c>
      <c r="AX78" s="52">
        <v>37</v>
      </c>
      <c r="AY78" s="31">
        <v>41061</v>
      </c>
      <c r="AZ78" s="9">
        <v>0</v>
      </c>
      <c r="BA78" s="67" t="e">
        <f>IF(AX78&lt;'DADOS DOS EMPREENDIMENTOS'!AZ$11,0,IF(AX78='DADOS DOS EMPREENDIMENTOS'!AZ$11,SUM(AZ$41:AZ78)*(1-'DADOS DOS EMPREENDIMENTOS'!#REF!-'DADOS DOS EMPREENDIMENTOS'!#REF!)+'DADOS DOS EMPREENDIMENTOS'!#REF!,IF(AX78='DADOS DOS EMPREENDIMENTOS'!#REF!,'DADOS DOS EMPREENDIMENTOS'!#REF!,AZ78*(1-'DADOS DOS EMPREENDIMENTOS'!#REF!-'DADOS DOS EMPREENDIMENTOS'!#REF!))))</f>
        <v>#REF!</v>
      </c>
      <c r="BC78" s="52">
        <v>37</v>
      </c>
      <c r="BD78" s="31">
        <v>41061</v>
      </c>
      <c r="BE78" s="9">
        <v>0</v>
      </c>
      <c r="BF78" s="67" t="e">
        <f>IF(BC78&lt;'DADOS DOS EMPREENDIMENTOS'!BE$11,0,IF(BC78='DADOS DOS EMPREENDIMENTOS'!BE$11,SUM(BE$41:BE78)*(1-'DADOS DOS EMPREENDIMENTOS'!#REF!-'DADOS DOS EMPREENDIMENTOS'!#REF!)+'DADOS DOS EMPREENDIMENTOS'!#REF!,IF(BC78='DADOS DOS EMPREENDIMENTOS'!#REF!,'DADOS DOS EMPREENDIMENTOS'!#REF!,BE78*(1-'DADOS DOS EMPREENDIMENTOS'!#REF!-'DADOS DOS EMPREENDIMENTOS'!#REF!))))</f>
        <v>#REF!</v>
      </c>
      <c r="BH78" s="52">
        <v>37</v>
      </c>
      <c r="BI78" s="31">
        <v>41061</v>
      </c>
      <c r="BJ78" s="9">
        <v>0</v>
      </c>
      <c r="BK78" s="67" t="e">
        <f>IF(BH78&lt;'DADOS DOS EMPREENDIMENTOS'!BJ$11,0,IF(BH78='DADOS DOS EMPREENDIMENTOS'!BJ$11,SUM(BJ$41:BJ78)*(1-'DADOS DOS EMPREENDIMENTOS'!#REF!-'DADOS DOS EMPREENDIMENTOS'!#REF!)+'DADOS DOS EMPREENDIMENTOS'!#REF!,IF(BH78='DADOS DOS EMPREENDIMENTOS'!#REF!,'DADOS DOS EMPREENDIMENTOS'!#REF!,BJ78*(1-'DADOS DOS EMPREENDIMENTOS'!#REF!-'DADOS DOS EMPREENDIMENTOS'!#REF!))))</f>
        <v>#REF!</v>
      </c>
      <c r="BM78" s="52">
        <v>37</v>
      </c>
      <c r="BN78" s="31">
        <v>41061</v>
      </c>
      <c r="BO78" s="9">
        <v>0</v>
      </c>
      <c r="BP78" s="67" t="e">
        <f>IF(BM78&lt;'DADOS DOS EMPREENDIMENTOS'!BO$11,0,IF(BM78='DADOS DOS EMPREENDIMENTOS'!BO$11,SUM(BO$41:BO78)*(1-'DADOS DOS EMPREENDIMENTOS'!#REF!-'DADOS DOS EMPREENDIMENTOS'!#REF!)+'DADOS DOS EMPREENDIMENTOS'!#REF!,IF(BM78='DADOS DOS EMPREENDIMENTOS'!BO$12,'DADOS DOS EMPREENDIMENTOS'!#REF!,BO78*(1-'DADOS DOS EMPREENDIMENTOS'!#REF!-'DADOS DOS EMPREENDIMENTOS'!#REF!))))</f>
        <v>#REF!</v>
      </c>
      <c r="BR78" s="52">
        <v>37</v>
      </c>
      <c r="BS78" s="31">
        <v>41061</v>
      </c>
      <c r="BT78" s="9">
        <v>0</v>
      </c>
      <c r="BU78" s="67" t="e">
        <f>IF(BR78&lt;'DADOS DOS EMPREENDIMENTOS'!BT$11,0,IF(BR78='DADOS DOS EMPREENDIMENTOS'!BT$11,SUM(BT$41:BT78)*(1-'DADOS DOS EMPREENDIMENTOS'!#REF!-'DADOS DOS EMPREENDIMENTOS'!#REF!)+'DADOS DOS EMPREENDIMENTOS'!#REF!,IF(BR78='DADOS DOS EMPREENDIMENTOS'!BT$12,'DADOS DOS EMPREENDIMENTOS'!#REF!,BT78*(1-'DADOS DOS EMPREENDIMENTOS'!#REF!-'DADOS DOS EMPREENDIMENTOS'!#REF!))))</f>
        <v>#REF!</v>
      </c>
      <c r="BW78" s="52">
        <v>37</v>
      </c>
      <c r="BX78" s="31">
        <v>41061</v>
      </c>
      <c r="BY78" s="9">
        <v>0</v>
      </c>
      <c r="BZ78" s="67" t="e">
        <f>IF(BW78&lt;'DADOS DOS EMPREENDIMENTOS'!BY$11,0,IF(BW78='DADOS DOS EMPREENDIMENTOS'!BY$11,SUM(BY$41:BY78)*(1-'DADOS DOS EMPREENDIMENTOS'!#REF!-'DADOS DOS EMPREENDIMENTOS'!#REF!)+'DADOS DOS EMPREENDIMENTOS'!#REF!,IF(BW78='DADOS DOS EMPREENDIMENTOS'!BY$12,'DADOS DOS EMPREENDIMENTOS'!#REF!,BY78*(1-'DADOS DOS EMPREENDIMENTOS'!#REF!-'DADOS DOS EMPREENDIMENTOS'!#REF!))))</f>
        <v>#REF!</v>
      </c>
      <c r="CB78" s="52">
        <v>37</v>
      </c>
      <c r="CC78" s="31">
        <v>41061</v>
      </c>
      <c r="CD78" s="9">
        <v>0</v>
      </c>
      <c r="CE78" s="67" t="e">
        <f>IF(CB78&lt;'DADOS DOS EMPREENDIMENTOS'!CD$11,0,IF(CB78='DADOS DOS EMPREENDIMENTOS'!CD$11,SUM(CD$41:CD78)*(1-'DADOS DOS EMPREENDIMENTOS'!#REF!-'DADOS DOS EMPREENDIMENTOS'!#REF!)+'DADOS DOS EMPREENDIMENTOS'!#REF!,IF(CB78='DADOS DOS EMPREENDIMENTOS'!CD$12,'DADOS DOS EMPREENDIMENTOS'!#REF!,CD78*(1-'DADOS DOS EMPREENDIMENTOS'!#REF!-'DADOS DOS EMPREENDIMENTOS'!#REF!))))</f>
        <v>#REF!</v>
      </c>
      <c r="CG78" s="52"/>
      <c r="CH78" s="31"/>
      <c r="CI78" s="9"/>
      <c r="CJ78" s="67"/>
    </row>
    <row r="79" spans="15:88" ht="12.75" customHeight="1" thickBot="1" x14ac:dyDescent="0.25">
      <c r="O79" s="45">
        <v>64</v>
      </c>
      <c r="P79" s="640" t="s">
        <v>379</v>
      </c>
      <c r="Q79" s="677">
        <f>VLOOKUP(P79,Apoio!C:E,2,0)</f>
        <v>245940</v>
      </c>
      <c r="R79" s="641" t="s">
        <v>316</v>
      </c>
      <c r="S79" s="378">
        <v>5</v>
      </c>
      <c r="T79" s="52">
        <v>38</v>
      </c>
      <c r="U79" s="31"/>
      <c r="V79" s="9"/>
      <c r="W79" s="67"/>
      <c r="Y79" s="52">
        <v>38</v>
      </c>
      <c r="Z79" s="31"/>
      <c r="AA79" s="9"/>
      <c r="AB79" s="67"/>
      <c r="AD79" s="52">
        <v>38</v>
      </c>
      <c r="AE79" s="31">
        <v>41091</v>
      </c>
      <c r="AF79" s="9">
        <v>0</v>
      </c>
      <c r="AG79" s="67" t="e">
        <f>IF(AD79&lt;'DADOS DOS EMPREENDIMENTOS'!AF$11,0,IF(AD79='DADOS DOS EMPREENDIMENTOS'!AF$11,SUM(AF$41:AF79)*(1-'DADOS DOS EMPREENDIMENTOS'!#REF!-'DADOS DOS EMPREENDIMENTOS'!#REF!)+'DADOS DOS EMPREENDIMENTOS'!#REF!,IF(AD79='DADOS DOS EMPREENDIMENTOS'!#REF!,'DADOS DOS EMPREENDIMENTOS'!#REF!,AF79*(1-'DADOS DOS EMPREENDIMENTOS'!#REF!-'DADOS DOS EMPREENDIMENTOS'!#REF!))))</f>
        <v>#REF!</v>
      </c>
      <c r="AI79" s="52">
        <v>38</v>
      </c>
      <c r="AJ79" s="31">
        <v>41091</v>
      </c>
      <c r="AK79" s="9">
        <v>0</v>
      </c>
      <c r="AL79" s="67" t="e">
        <f>IF(AI79&lt;'DADOS DOS EMPREENDIMENTOS'!AK$11,0,IF(AI79='DADOS DOS EMPREENDIMENTOS'!AK$11,SUM(AK$41:AK79)*(1-'DADOS DOS EMPREENDIMENTOS'!#REF!-'DADOS DOS EMPREENDIMENTOS'!#REF!)+'DADOS DOS EMPREENDIMENTOS'!#REF!,IF(AI79='DADOS DOS EMPREENDIMENTOS'!#REF!,'DADOS DOS EMPREENDIMENTOS'!#REF!,AK79*(1-'DADOS DOS EMPREENDIMENTOS'!#REF!-'DADOS DOS EMPREENDIMENTOS'!#REF!))))</f>
        <v>#REF!</v>
      </c>
      <c r="AN79" s="52">
        <v>38</v>
      </c>
      <c r="AO79" s="31">
        <v>41091</v>
      </c>
      <c r="AP79" s="9">
        <v>0</v>
      </c>
      <c r="AQ79" s="67" t="e">
        <f>IF(AN79&lt;'DADOS DOS EMPREENDIMENTOS'!AP$11,0,IF(AN79='DADOS DOS EMPREENDIMENTOS'!AP$11,SUM(AP$41:AP79)*(1-'DADOS DOS EMPREENDIMENTOS'!#REF!-'DADOS DOS EMPREENDIMENTOS'!#REF!)+'DADOS DOS EMPREENDIMENTOS'!#REF!,IF(AN79='DADOS DOS EMPREENDIMENTOS'!#REF!,'DADOS DOS EMPREENDIMENTOS'!#REF!,AP79*(1-'DADOS DOS EMPREENDIMENTOS'!#REF!-'DADOS DOS EMPREENDIMENTOS'!#REF!))))</f>
        <v>#REF!</v>
      </c>
      <c r="AS79" s="52">
        <v>38</v>
      </c>
      <c r="AT79" s="31">
        <v>41091</v>
      </c>
      <c r="AU79" s="9">
        <v>0</v>
      </c>
      <c r="AV79" s="67" t="e">
        <f>IF(AS79&lt;'DADOS DOS EMPREENDIMENTOS'!AU$11,0,IF(AS79='DADOS DOS EMPREENDIMENTOS'!AU$11,SUM(AU$41:AU79)*(1-'DADOS DOS EMPREENDIMENTOS'!#REF!-'DADOS DOS EMPREENDIMENTOS'!#REF!)+'DADOS DOS EMPREENDIMENTOS'!#REF!,IF(AS79='DADOS DOS EMPREENDIMENTOS'!#REF!,'DADOS DOS EMPREENDIMENTOS'!#REF!,AU79*(1-'DADOS DOS EMPREENDIMENTOS'!#REF!-'DADOS DOS EMPREENDIMENTOS'!#REF!))))</f>
        <v>#REF!</v>
      </c>
      <c r="AX79" s="52">
        <v>38</v>
      </c>
      <c r="AY79" s="31">
        <v>41091</v>
      </c>
      <c r="AZ79" s="9">
        <v>0</v>
      </c>
      <c r="BA79" s="67" t="e">
        <f>IF(AX79&lt;'DADOS DOS EMPREENDIMENTOS'!AZ$11,0,IF(AX79='DADOS DOS EMPREENDIMENTOS'!AZ$11,SUM(AZ$41:AZ79)*(1-'DADOS DOS EMPREENDIMENTOS'!#REF!-'DADOS DOS EMPREENDIMENTOS'!#REF!)+'DADOS DOS EMPREENDIMENTOS'!#REF!,IF(AX79='DADOS DOS EMPREENDIMENTOS'!#REF!,'DADOS DOS EMPREENDIMENTOS'!#REF!,AZ79*(1-'DADOS DOS EMPREENDIMENTOS'!#REF!-'DADOS DOS EMPREENDIMENTOS'!#REF!))))</f>
        <v>#REF!</v>
      </c>
      <c r="BC79" s="52">
        <v>38</v>
      </c>
      <c r="BD79" s="31">
        <v>41091</v>
      </c>
      <c r="BE79" s="9">
        <v>0</v>
      </c>
      <c r="BF79" s="67" t="e">
        <f>IF(BC79&lt;'DADOS DOS EMPREENDIMENTOS'!BE$11,0,IF(BC79='DADOS DOS EMPREENDIMENTOS'!BE$11,SUM(BE$41:BE79)*(1-'DADOS DOS EMPREENDIMENTOS'!#REF!-'DADOS DOS EMPREENDIMENTOS'!#REF!)+'DADOS DOS EMPREENDIMENTOS'!#REF!,IF(BC79='DADOS DOS EMPREENDIMENTOS'!#REF!,'DADOS DOS EMPREENDIMENTOS'!#REF!,BE79*(1-'DADOS DOS EMPREENDIMENTOS'!#REF!-'DADOS DOS EMPREENDIMENTOS'!#REF!))))</f>
        <v>#REF!</v>
      </c>
      <c r="BH79" s="52">
        <v>38</v>
      </c>
      <c r="BI79" s="31">
        <v>41091</v>
      </c>
      <c r="BJ79" s="9">
        <v>0</v>
      </c>
      <c r="BK79" s="67" t="e">
        <f>IF(BH79&lt;'DADOS DOS EMPREENDIMENTOS'!BJ$11,0,IF(BH79='DADOS DOS EMPREENDIMENTOS'!BJ$11,SUM(BJ$41:BJ79)*(1-'DADOS DOS EMPREENDIMENTOS'!#REF!-'DADOS DOS EMPREENDIMENTOS'!#REF!)+'DADOS DOS EMPREENDIMENTOS'!#REF!,IF(BH79='DADOS DOS EMPREENDIMENTOS'!#REF!,'DADOS DOS EMPREENDIMENTOS'!#REF!,BJ79*(1-'DADOS DOS EMPREENDIMENTOS'!#REF!-'DADOS DOS EMPREENDIMENTOS'!#REF!))))</f>
        <v>#REF!</v>
      </c>
      <c r="BM79" s="52">
        <v>38</v>
      </c>
      <c r="BN79" s="31">
        <v>41091</v>
      </c>
      <c r="BO79" s="9">
        <v>0</v>
      </c>
      <c r="BP79" s="67" t="e">
        <f>IF(BM79&lt;'DADOS DOS EMPREENDIMENTOS'!BO$11,0,IF(BM79='DADOS DOS EMPREENDIMENTOS'!BO$11,SUM(BO$41:BO79)*(1-'DADOS DOS EMPREENDIMENTOS'!#REF!-'DADOS DOS EMPREENDIMENTOS'!#REF!)+'DADOS DOS EMPREENDIMENTOS'!#REF!,IF(BM79='DADOS DOS EMPREENDIMENTOS'!BO$12,'DADOS DOS EMPREENDIMENTOS'!#REF!,BO79*(1-'DADOS DOS EMPREENDIMENTOS'!#REF!-'DADOS DOS EMPREENDIMENTOS'!#REF!))))</f>
        <v>#REF!</v>
      </c>
      <c r="BR79" s="52">
        <v>38</v>
      </c>
      <c r="BS79" s="31">
        <v>41091</v>
      </c>
      <c r="BT79" s="9">
        <v>0</v>
      </c>
      <c r="BU79" s="67" t="e">
        <f>IF(BR79&lt;'DADOS DOS EMPREENDIMENTOS'!BT$11,0,IF(BR79='DADOS DOS EMPREENDIMENTOS'!BT$11,SUM(BT$41:BT79)*(1-'DADOS DOS EMPREENDIMENTOS'!#REF!-'DADOS DOS EMPREENDIMENTOS'!#REF!)+'DADOS DOS EMPREENDIMENTOS'!#REF!,IF(BR79='DADOS DOS EMPREENDIMENTOS'!BT$12,'DADOS DOS EMPREENDIMENTOS'!#REF!,BT79*(1-'DADOS DOS EMPREENDIMENTOS'!#REF!-'DADOS DOS EMPREENDIMENTOS'!#REF!))))</f>
        <v>#REF!</v>
      </c>
      <c r="BW79" s="52">
        <v>38</v>
      </c>
      <c r="BX79" s="31">
        <v>41091</v>
      </c>
      <c r="BY79" s="9">
        <v>0</v>
      </c>
      <c r="BZ79" s="67" t="e">
        <f>IF(BW79&lt;'DADOS DOS EMPREENDIMENTOS'!BY$11,0,IF(BW79='DADOS DOS EMPREENDIMENTOS'!BY$11,SUM(BY$41:BY79)*(1-'DADOS DOS EMPREENDIMENTOS'!#REF!-'DADOS DOS EMPREENDIMENTOS'!#REF!)+'DADOS DOS EMPREENDIMENTOS'!#REF!,IF(BW79='DADOS DOS EMPREENDIMENTOS'!BY$12,'DADOS DOS EMPREENDIMENTOS'!#REF!,BY79*(1-'DADOS DOS EMPREENDIMENTOS'!#REF!-'DADOS DOS EMPREENDIMENTOS'!#REF!))))</f>
        <v>#REF!</v>
      </c>
      <c r="CB79" s="52">
        <v>38</v>
      </c>
      <c r="CC79" s="31">
        <v>41091</v>
      </c>
      <c r="CD79" s="9">
        <v>0</v>
      </c>
      <c r="CE79" s="67" t="e">
        <f>IF(CB79&lt;'DADOS DOS EMPREENDIMENTOS'!CD$11,0,IF(CB79='DADOS DOS EMPREENDIMENTOS'!CD$11,SUM(CD$41:CD79)*(1-'DADOS DOS EMPREENDIMENTOS'!#REF!-'DADOS DOS EMPREENDIMENTOS'!#REF!)+'DADOS DOS EMPREENDIMENTOS'!#REF!,IF(CB79='DADOS DOS EMPREENDIMENTOS'!CD$12,'DADOS DOS EMPREENDIMENTOS'!#REF!,CD79*(1-'DADOS DOS EMPREENDIMENTOS'!#REF!-'DADOS DOS EMPREENDIMENTOS'!#REF!))))</f>
        <v>#REF!</v>
      </c>
      <c r="CG79" s="52"/>
      <c r="CH79" s="31"/>
      <c r="CI79" s="9"/>
      <c r="CJ79" s="67"/>
    </row>
    <row r="80" spans="15:88" ht="12.75" customHeight="1" thickBot="1" x14ac:dyDescent="0.25">
      <c r="O80" s="43">
        <v>65</v>
      </c>
      <c r="P80" s="640" t="s">
        <v>380</v>
      </c>
      <c r="Q80" s="677">
        <f>VLOOKUP(P80,Apoio!C:E,2,0)</f>
        <v>245940</v>
      </c>
      <c r="R80" s="641" t="s">
        <v>316</v>
      </c>
      <c r="S80" s="378">
        <v>5</v>
      </c>
      <c r="T80" s="52">
        <v>39</v>
      </c>
      <c r="U80" s="31"/>
      <c r="V80" s="9"/>
      <c r="W80" s="67"/>
      <c r="Y80" s="52">
        <v>39</v>
      </c>
      <c r="Z80" s="31"/>
      <c r="AA80" s="9"/>
      <c r="AB80" s="67"/>
      <c r="AD80" s="52">
        <v>39</v>
      </c>
      <c r="AE80" s="31">
        <v>41122</v>
      </c>
      <c r="AF80" s="9">
        <v>0</v>
      </c>
      <c r="AG80" s="67" t="e">
        <f>IF(AD80&lt;'DADOS DOS EMPREENDIMENTOS'!AF$11,0,IF(AD80='DADOS DOS EMPREENDIMENTOS'!AF$11,SUM(AF$41:AF80)*(1-'DADOS DOS EMPREENDIMENTOS'!#REF!-'DADOS DOS EMPREENDIMENTOS'!#REF!)+'DADOS DOS EMPREENDIMENTOS'!#REF!,IF(AD80='DADOS DOS EMPREENDIMENTOS'!#REF!,'DADOS DOS EMPREENDIMENTOS'!#REF!,AF80*(1-'DADOS DOS EMPREENDIMENTOS'!#REF!-'DADOS DOS EMPREENDIMENTOS'!#REF!))))</f>
        <v>#REF!</v>
      </c>
      <c r="AI80" s="52">
        <v>39</v>
      </c>
      <c r="AJ80" s="31">
        <v>41122</v>
      </c>
      <c r="AK80" s="9">
        <v>0</v>
      </c>
      <c r="AL80" s="67" t="e">
        <f>IF(AI80&lt;'DADOS DOS EMPREENDIMENTOS'!AK$11,0,IF(AI80='DADOS DOS EMPREENDIMENTOS'!AK$11,SUM(AK$41:AK80)*(1-'DADOS DOS EMPREENDIMENTOS'!#REF!-'DADOS DOS EMPREENDIMENTOS'!#REF!)+'DADOS DOS EMPREENDIMENTOS'!#REF!,IF(AI80='DADOS DOS EMPREENDIMENTOS'!#REF!,'DADOS DOS EMPREENDIMENTOS'!#REF!,AK80*(1-'DADOS DOS EMPREENDIMENTOS'!#REF!-'DADOS DOS EMPREENDIMENTOS'!#REF!))))</f>
        <v>#REF!</v>
      </c>
      <c r="AN80" s="52">
        <v>39</v>
      </c>
      <c r="AO80" s="31">
        <v>41122</v>
      </c>
      <c r="AP80" s="9">
        <v>0</v>
      </c>
      <c r="AQ80" s="67" t="e">
        <f>IF(AN80&lt;'DADOS DOS EMPREENDIMENTOS'!AP$11,0,IF(AN80='DADOS DOS EMPREENDIMENTOS'!AP$11,SUM(AP$41:AP80)*(1-'DADOS DOS EMPREENDIMENTOS'!#REF!-'DADOS DOS EMPREENDIMENTOS'!#REF!)+'DADOS DOS EMPREENDIMENTOS'!#REF!,IF(AN80='DADOS DOS EMPREENDIMENTOS'!#REF!,'DADOS DOS EMPREENDIMENTOS'!#REF!,AP80*(1-'DADOS DOS EMPREENDIMENTOS'!#REF!-'DADOS DOS EMPREENDIMENTOS'!#REF!))))</f>
        <v>#REF!</v>
      </c>
      <c r="AS80" s="52">
        <v>39</v>
      </c>
      <c r="AT80" s="31">
        <v>41122</v>
      </c>
      <c r="AU80" s="9">
        <v>0</v>
      </c>
      <c r="AV80" s="67" t="e">
        <f>IF(AS80&lt;'DADOS DOS EMPREENDIMENTOS'!AU$11,0,IF(AS80='DADOS DOS EMPREENDIMENTOS'!AU$11,SUM(AU$41:AU80)*(1-'DADOS DOS EMPREENDIMENTOS'!#REF!-'DADOS DOS EMPREENDIMENTOS'!#REF!)+'DADOS DOS EMPREENDIMENTOS'!#REF!,IF(AS80='DADOS DOS EMPREENDIMENTOS'!#REF!,'DADOS DOS EMPREENDIMENTOS'!#REF!,AU80*(1-'DADOS DOS EMPREENDIMENTOS'!#REF!-'DADOS DOS EMPREENDIMENTOS'!#REF!))))</f>
        <v>#REF!</v>
      </c>
      <c r="AX80" s="52">
        <v>39</v>
      </c>
      <c r="AY80" s="31">
        <v>41122</v>
      </c>
      <c r="AZ80" s="9">
        <v>0</v>
      </c>
      <c r="BA80" s="67" t="e">
        <f>IF(AX80&lt;'DADOS DOS EMPREENDIMENTOS'!AZ$11,0,IF(AX80='DADOS DOS EMPREENDIMENTOS'!AZ$11,SUM(AZ$41:AZ80)*(1-'DADOS DOS EMPREENDIMENTOS'!#REF!-'DADOS DOS EMPREENDIMENTOS'!#REF!)+'DADOS DOS EMPREENDIMENTOS'!#REF!,IF(AX80='DADOS DOS EMPREENDIMENTOS'!#REF!,'DADOS DOS EMPREENDIMENTOS'!#REF!,AZ80*(1-'DADOS DOS EMPREENDIMENTOS'!#REF!-'DADOS DOS EMPREENDIMENTOS'!#REF!))))</f>
        <v>#REF!</v>
      </c>
      <c r="BC80" s="52">
        <v>39</v>
      </c>
      <c r="BD80" s="31">
        <v>41122</v>
      </c>
      <c r="BE80" s="9">
        <v>0</v>
      </c>
      <c r="BF80" s="67" t="e">
        <f>IF(BC80&lt;'DADOS DOS EMPREENDIMENTOS'!BE$11,0,IF(BC80='DADOS DOS EMPREENDIMENTOS'!BE$11,SUM(BE$41:BE80)*(1-'DADOS DOS EMPREENDIMENTOS'!#REF!-'DADOS DOS EMPREENDIMENTOS'!#REF!)+'DADOS DOS EMPREENDIMENTOS'!#REF!,IF(BC80='DADOS DOS EMPREENDIMENTOS'!#REF!,'DADOS DOS EMPREENDIMENTOS'!#REF!,BE80*(1-'DADOS DOS EMPREENDIMENTOS'!#REF!-'DADOS DOS EMPREENDIMENTOS'!#REF!))))</f>
        <v>#REF!</v>
      </c>
      <c r="BH80" s="52">
        <v>39</v>
      </c>
      <c r="BI80" s="31">
        <v>41122</v>
      </c>
      <c r="BJ80" s="9">
        <v>0</v>
      </c>
      <c r="BK80" s="67" t="e">
        <f>IF(BH80&lt;'DADOS DOS EMPREENDIMENTOS'!BJ$11,0,IF(BH80='DADOS DOS EMPREENDIMENTOS'!BJ$11,SUM(BJ$41:BJ80)*(1-'DADOS DOS EMPREENDIMENTOS'!#REF!-'DADOS DOS EMPREENDIMENTOS'!#REF!)+'DADOS DOS EMPREENDIMENTOS'!#REF!,IF(BH80='DADOS DOS EMPREENDIMENTOS'!#REF!,'DADOS DOS EMPREENDIMENTOS'!#REF!,BJ80*(1-'DADOS DOS EMPREENDIMENTOS'!#REF!-'DADOS DOS EMPREENDIMENTOS'!#REF!))))</f>
        <v>#REF!</v>
      </c>
      <c r="BM80" s="52">
        <v>39</v>
      </c>
      <c r="BN80" s="31">
        <v>41122</v>
      </c>
      <c r="BO80" s="9">
        <v>0</v>
      </c>
      <c r="BP80" s="67" t="e">
        <f>IF(BM80&lt;'DADOS DOS EMPREENDIMENTOS'!BO$11,0,IF(BM80='DADOS DOS EMPREENDIMENTOS'!BO$11,SUM(BO$41:BO80)*(1-'DADOS DOS EMPREENDIMENTOS'!#REF!-'DADOS DOS EMPREENDIMENTOS'!#REF!)+'DADOS DOS EMPREENDIMENTOS'!#REF!,IF(BM80='DADOS DOS EMPREENDIMENTOS'!BO$12,'DADOS DOS EMPREENDIMENTOS'!#REF!,BO80*(1-'DADOS DOS EMPREENDIMENTOS'!#REF!-'DADOS DOS EMPREENDIMENTOS'!#REF!))))</f>
        <v>#REF!</v>
      </c>
      <c r="BR80" s="52">
        <v>39</v>
      </c>
      <c r="BS80" s="31">
        <v>41122</v>
      </c>
      <c r="BT80" s="9">
        <v>0</v>
      </c>
      <c r="BU80" s="67" t="e">
        <f>IF(BR80&lt;'DADOS DOS EMPREENDIMENTOS'!BT$11,0,IF(BR80='DADOS DOS EMPREENDIMENTOS'!BT$11,SUM(BT$41:BT80)*(1-'DADOS DOS EMPREENDIMENTOS'!#REF!-'DADOS DOS EMPREENDIMENTOS'!#REF!)+'DADOS DOS EMPREENDIMENTOS'!#REF!,IF(BR80='DADOS DOS EMPREENDIMENTOS'!BT$12,'DADOS DOS EMPREENDIMENTOS'!#REF!,BT80*(1-'DADOS DOS EMPREENDIMENTOS'!#REF!-'DADOS DOS EMPREENDIMENTOS'!#REF!))))</f>
        <v>#REF!</v>
      </c>
      <c r="BW80" s="52">
        <v>39</v>
      </c>
      <c r="BX80" s="31">
        <v>41122</v>
      </c>
      <c r="BY80" s="9">
        <v>0</v>
      </c>
      <c r="BZ80" s="67" t="e">
        <f>IF(BW80&lt;'DADOS DOS EMPREENDIMENTOS'!BY$11,0,IF(BW80='DADOS DOS EMPREENDIMENTOS'!BY$11,SUM(BY$41:BY80)*(1-'DADOS DOS EMPREENDIMENTOS'!#REF!-'DADOS DOS EMPREENDIMENTOS'!#REF!)+'DADOS DOS EMPREENDIMENTOS'!#REF!,IF(BW80='DADOS DOS EMPREENDIMENTOS'!BY$12,'DADOS DOS EMPREENDIMENTOS'!#REF!,BY80*(1-'DADOS DOS EMPREENDIMENTOS'!#REF!-'DADOS DOS EMPREENDIMENTOS'!#REF!))))</f>
        <v>#REF!</v>
      </c>
      <c r="CB80" s="52">
        <v>39</v>
      </c>
      <c r="CC80" s="31">
        <v>41122</v>
      </c>
      <c r="CD80" s="9">
        <v>0</v>
      </c>
      <c r="CE80" s="67" t="e">
        <f>IF(CB80&lt;'DADOS DOS EMPREENDIMENTOS'!CD$11,0,IF(CB80='DADOS DOS EMPREENDIMENTOS'!CD$11,SUM(CD$41:CD80)*(1-'DADOS DOS EMPREENDIMENTOS'!#REF!-'DADOS DOS EMPREENDIMENTOS'!#REF!)+'DADOS DOS EMPREENDIMENTOS'!#REF!,IF(CB80='DADOS DOS EMPREENDIMENTOS'!CD$12,'DADOS DOS EMPREENDIMENTOS'!#REF!,CD80*(1-'DADOS DOS EMPREENDIMENTOS'!#REF!-'DADOS DOS EMPREENDIMENTOS'!#REF!))))</f>
        <v>#REF!</v>
      </c>
      <c r="CG80" s="52"/>
      <c r="CH80" s="31"/>
      <c r="CI80" s="9"/>
      <c r="CJ80" s="67"/>
    </row>
    <row r="81" spans="15:88" ht="13.5" customHeight="1" thickBot="1" x14ac:dyDescent="0.25">
      <c r="O81" s="45">
        <v>66</v>
      </c>
      <c r="P81" s="640" t="s">
        <v>381</v>
      </c>
      <c r="Q81" s="677">
        <f>VLOOKUP(P81,Apoio!C:E,2,0)</f>
        <v>246040</v>
      </c>
      <c r="R81" s="641" t="s">
        <v>316</v>
      </c>
      <c r="S81" s="378">
        <v>5</v>
      </c>
      <c r="T81" s="53">
        <v>40</v>
      </c>
      <c r="U81" s="54"/>
      <c r="V81" s="55"/>
      <c r="W81" s="67"/>
      <c r="Y81" s="53">
        <v>40</v>
      </c>
      <c r="Z81" s="54"/>
      <c r="AA81" s="55"/>
      <c r="AB81" s="67"/>
      <c r="AD81" s="53">
        <v>40</v>
      </c>
      <c r="AE81" s="54">
        <v>41153</v>
      </c>
      <c r="AF81" s="55">
        <v>0</v>
      </c>
      <c r="AG81" s="67" t="e">
        <f>IF(AD81&lt;'DADOS DOS EMPREENDIMENTOS'!AF$11,0,IF(AD81='DADOS DOS EMPREENDIMENTOS'!AF$11,SUM(AF$41:AF81)*(1-'DADOS DOS EMPREENDIMENTOS'!#REF!-'DADOS DOS EMPREENDIMENTOS'!#REF!)+'DADOS DOS EMPREENDIMENTOS'!#REF!,IF(AD81='DADOS DOS EMPREENDIMENTOS'!#REF!,'DADOS DOS EMPREENDIMENTOS'!#REF!,AF81*(1-'DADOS DOS EMPREENDIMENTOS'!#REF!-'DADOS DOS EMPREENDIMENTOS'!#REF!))))</f>
        <v>#REF!</v>
      </c>
      <c r="AI81" s="53">
        <v>40</v>
      </c>
      <c r="AJ81" s="54">
        <v>41153</v>
      </c>
      <c r="AK81" s="55">
        <v>0</v>
      </c>
      <c r="AL81" s="67" t="e">
        <f>IF(AI81&lt;'DADOS DOS EMPREENDIMENTOS'!AK$11,0,IF(AI81='DADOS DOS EMPREENDIMENTOS'!AK$11,SUM(AK$41:AK81)*(1-'DADOS DOS EMPREENDIMENTOS'!#REF!-'DADOS DOS EMPREENDIMENTOS'!#REF!)+'DADOS DOS EMPREENDIMENTOS'!#REF!,IF(AI81='DADOS DOS EMPREENDIMENTOS'!#REF!,'DADOS DOS EMPREENDIMENTOS'!#REF!,AK81*(1-'DADOS DOS EMPREENDIMENTOS'!#REF!-'DADOS DOS EMPREENDIMENTOS'!#REF!))))</f>
        <v>#REF!</v>
      </c>
      <c r="AN81" s="53">
        <v>40</v>
      </c>
      <c r="AO81" s="54">
        <v>41153</v>
      </c>
      <c r="AP81" s="55">
        <v>0</v>
      </c>
      <c r="AQ81" s="67" t="e">
        <f>IF(AN81&lt;'DADOS DOS EMPREENDIMENTOS'!AP$11,0,IF(AN81='DADOS DOS EMPREENDIMENTOS'!AP$11,SUM(AP$41:AP81)*(1-'DADOS DOS EMPREENDIMENTOS'!#REF!-'DADOS DOS EMPREENDIMENTOS'!#REF!)+'DADOS DOS EMPREENDIMENTOS'!#REF!,IF(AN81='DADOS DOS EMPREENDIMENTOS'!#REF!,'DADOS DOS EMPREENDIMENTOS'!#REF!,AP81*(1-'DADOS DOS EMPREENDIMENTOS'!#REF!-'DADOS DOS EMPREENDIMENTOS'!#REF!))))</f>
        <v>#REF!</v>
      </c>
      <c r="AS81" s="53">
        <v>40</v>
      </c>
      <c r="AT81" s="54">
        <v>41153</v>
      </c>
      <c r="AU81" s="55">
        <v>0</v>
      </c>
      <c r="AV81" s="67" t="e">
        <f>IF(AS81&lt;'DADOS DOS EMPREENDIMENTOS'!AU$11,0,IF(AS81='DADOS DOS EMPREENDIMENTOS'!AU$11,SUM(AU$41:AU81)*(1-'DADOS DOS EMPREENDIMENTOS'!#REF!-'DADOS DOS EMPREENDIMENTOS'!#REF!)+'DADOS DOS EMPREENDIMENTOS'!#REF!,IF(AS81='DADOS DOS EMPREENDIMENTOS'!#REF!,'DADOS DOS EMPREENDIMENTOS'!#REF!,AU81*(1-'DADOS DOS EMPREENDIMENTOS'!#REF!-'DADOS DOS EMPREENDIMENTOS'!#REF!))))</f>
        <v>#REF!</v>
      </c>
      <c r="AX81" s="53">
        <v>40</v>
      </c>
      <c r="AY81" s="54">
        <v>41153</v>
      </c>
      <c r="AZ81" s="55">
        <v>0</v>
      </c>
      <c r="BA81" s="67" t="e">
        <f>IF(AX81&lt;'DADOS DOS EMPREENDIMENTOS'!AZ$11,0,IF(AX81='DADOS DOS EMPREENDIMENTOS'!AZ$11,SUM(AZ$41:AZ81)*(1-'DADOS DOS EMPREENDIMENTOS'!#REF!-'DADOS DOS EMPREENDIMENTOS'!#REF!)+'DADOS DOS EMPREENDIMENTOS'!#REF!,IF(AX81='DADOS DOS EMPREENDIMENTOS'!#REF!,'DADOS DOS EMPREENDIMENTOS'!#REF!,AZ81*(1-'DADOS DOS EMPREENDIMENTOS'!#REF!-'DADOS DOS EMPREENDIMENTOS'!#REF!))))</f>
        <v>#REF!</v>
      </c>
      <c r="BC81" s="53">
        <v>40</v>
      </c>
      <c r="BD81" s="54">
        <v>41153</v>
      </c>
      <c r="BE81" s="55">
        <v>0</v>
      </c>
      <c r="BF81" s="67" t="e">
        <f>IF(BC81&lt;'DADOS DOS EMPREENDIMENTOS'!BE$11,0,IF(BC81='DADOS DOS EMPREENDIMENTOS'!BE$11,SUM(BE$41:BE81)*(1-'DADOS DOS EMPREENDIMENTOS'!#REF!-'DADOS DOS EMPREENDIMENTOS'!#REF!)+'DADOS DOS EMPREENDIMENTOS'!#REF!,IF(BC81='DADOS DOS EMPREENDIMENTOS'!#REF!,'DADOS DOS EMPREENDIMENTOS'!#REF!,BE81*(1-'DADOS DOS EMPREENDIMENTOS'!#REF!-'DADOS DOS EMPREENDIMENTOS'!#REF!))))</f>
        <v>#REF!</v>
      </c>
      <c r="BH81" s="53">
        <v>40</v>
      </c>
      <c r="BI81" s="54">
        <v>41153</v>
      </c>
      <c r="BJ81" s="55">
        <v>0</v>
      </c>
      <c r="BK81" s="67" t="e">
        <f>IF(BH81&lt;'DADOS DOS EMPREENDIMENTOS'!BJ$11,0,IF(BH81='DADOS DOS EMPREENDIMENTOS'!BJ$11,SUM(BJ$41:BJ81)*(1-'DADOS DOS EMPREENDIMENTOS'!#REF!-'DADOS DOS EMPREENDIMENTOS'!#REF!)+'DADOS DOS EMPREENDIMENTOS'!#REF!,IF(BH81='DADOS DOS EMPREENDIMENTOS'!#REF!,'DADOS DOS EMPREENDIMENTOS'!#REF!,BJ81*(1-'DADOS DOS EMPREENDIMENTOS'!#REF!-'DADOS DOS EMPREENDIMENTOS'!#REF!))))</f>
        <v>#REF!</v>
      </c>
      <c r="BM81" s="53">
        <v>40</v>
      </c>
      <c r="BN81" s="54">
        <v>41153</v>
      </c>
      <c r="BO81" s="55">
        <v>0</v>
      </c>
      <c r="BP81" s="67" t="e">
        <f>IF(BM81&lt;'DADOS DOS EMPREENDIMENTOS'!BO$11,0,IF(BM81='DADOS DOS EMPREENDIMENTOS'!BO$11,SUM(BO$41:BO81)*(1-'DADOS DOS EMPREENDIMENTOS'!#REF!-'DADOS DOS EMPREENDIMENTOS'!#REF!)+'DADOS DOS EMPREENDIMENTOS'!#REF!,IF(BM81='DADOS DOS EMPREENDIMENTOS'!BO$12,'DADOS DOS EMPREENDIMENTOS'!#REF!,BO81*(1-'DADOS DOS EMPREENDIMENTOS'!#REF!-'DADOS DOS EMPREENDIMENTOS'!#REF!))))</f>
        <v>#REF!</v>
      </c>
      <c r="BR81" s="53">
        <v>40</v>
      </c>
      <c r="BS81" s="54">
        <v>41153</v>
      </c>
      <c r="BT81" s="55">
        <v>0</v>
      </c>
      <c r="BU81" s="67" t="e">
        <f>IF(BR81&lt;'DADOS DOS EMPREENDIMENTOS'!BT$11,0,IF(BR81='DADOS DOS EMPREENDIMENTOS'!BT$11,SUM(BT$41:BT81)*(1-'DADOS DOS EMPREENDIMENTOS'!#REF!-'DADOS DOS EMPREENDIMENTOS'!#REF!)+'DADOS DOS EMPREENDIMENTOS'!#REF!,IF(BR81='DADOS DOS EMPREENDIMENTOS'!BT$12,'DADOS DOS EMPREENDIMENTOS'!#REF!,BT81*(1-'DADOS DOS EMPREENDIMENTOS'!#REF!-'DADOS DOS EMPREENDIMENTOS'!#REF!))))</f>
        <v>#REF!</v>
      </c>
      <c r="BW81" s="53">
        <v>40</v>
      </c>
      <c r="BX81" s="54">
        <v>41153</v>
      </c>
      <c r="BY81" s="55">
        <v>0</v>
      </c>
      <c r="BZ81" s="67" t="e">
        <f>IF(BW81&lt;'DADOS DOS EMPREENDIMENTOS'!BY$11,0,IF(BW81='DADOS DOS EMPREENDIMENTOS'!BY$11,SUM(BY$41:BY81)*(1-'DADOS DOS EMPREENDIMENTOS'!#REF!-'DADOS DOS EMPREENDIMENTOS'!#REF!)+'DADOS DOS EMPREENDIMENTOS'!#REF!,IF(BW81='DADOS DOS EMPREENDIMENTOS'!BY$12,'DADOS DOS EMPREENDIMENTOS'!#REF!,BY81*(1-'DADOS DOS EMPREENDIMENTOS'!#REF!-'DADOS DOS EMPREENDIMENTOS'!#REF!))))</f>
        <v>#REF!</v>
      </c>
      <c r="CB81" s="53">
        <v>40</v>
      </c>
      <c r="CC81" s="54">
        <v>41153</v>
      </c>
      <c r="CD81" s="55">
        <v>0</v>
      </c>
      <c r="CE81" s="67" t="e">
        <f>IF(CB81&lt;'DADOS DOS EMPREENDIMENTOS'!CD$11,0,IF(CB81='DADOS DOS EMPREENDIMENTOS'!CD$11,SUM(CD$41:CD81)*(1-'DADOS DOS EMPREENDIMENTOS'!#REF!-'DADOS DOS EMPREENDIMENTOS'!#REF!)+'DADOS DOS EMPREENDIMENTOS'!#REF!,IF(CB81='DADOS DOS EMPREENDIMENTOS'!CD$12,'DADOS DOS EMPREENDIMENTOS'!#REF!,CD81*(1-'DADOS DOS EMPREENDIMENTOS'!#REF!-'DADOS DOS EMPREENDIMENTOS'!#REF!))))</f>
        <v>#REF!</v>
      </c>
      <c r="CG81" s="53"/>
      <c r="CH81" s="54"/>
      <c r="CI81" s="55"/>
      <c r="CJ81" s="67"/>
    </row>
    <row r="82" spans="15:88" ht="12.75" customHeight="1" thickBot="1" x14ac:dyDescent="0.25">
      <c r="O82" s="43">
        <v>67</v>
      </c>
      <c r="P82" s="640" t="s">
        <v>382</v>
      </c>
      <c r="Q82" s="677">
        <f>VLOOKUP(P82,Apoio!C:E,2,0)</f>
        <v>246040</v>
      </c>
      <c r="R82" s="641" t="s">
        <v>316</v>
      </c>
      <c r="S82" s="378">
        <v>5</v>
      </c>
    </row>
    <row r="83" spans="15:88" ht="12.75" customHeight="1" thickBot="1" x14ac:dyDescent="0.25">
      <c r="O83" s="45">
        <v>68</v>
      </c>
      <c r="P83" s="640" t="s">
        <v>383</v>
      </c>
      <c r="Q83" s="677">
        <f>VLOOKUP(P83,Apoio!C:E,2,0)</f>
        <v>245940</v>
      </c>
      <c r="R83" s="641" t="s">
        <v>316</v>
      </c>
      <c r="S83" s="378">
        <v>5</v>
      </c>
    </row>
    <row r="84" spans="15:88" ht="12.75" customHeight="1" thickBot="1" x14ac:dyDescent="0.25">
      <c r="O84" s="43">
        <v>69</v>
      </c>
      <c r="P84" s="640" t="s">
        <v>384</v>
      </c>
      <c r="Q84" s="677">
        <f>VLOOKUP(P84,Apoio!C:E,2,0)</f>
        <v>245940</v>
      </c>
      <c r="R84" s="641" t="s">
        <v>316</v>
      </c>
      <c r="S84" s="378">
        <v>5</v>
      </c>
    </row>
    <row r="85" spans="15:88" ht="12.75" customHeight="1" thickBot="1" x14ac:dyDescent="0.25">
      <c r="O85" s="45">
        <v>70</v>
      </c>
      <c r="P85" s="640" t="s">
        <v>385</v>
      </c>
      <c r="Q85" s="677">
        <f>VLOOKUP(P85,Apoio!C:E,2,0)</f>
        <v>246030</v>
      </c>
      <c r="R85" s="641" t="s">
        <v>316</v>
      </c>
      <c r="S85" s="378">
        <v>5</v>
      </c>
    </row>
    <row r="86" spans="15:88" ht="12.75" customHeight="1" thickBot="1" x14ac:dyDescent="0.25">
      <c r="O86" s="43">
        <v>71</v>
      </c>
      <c r="P86" s="640" t="s">
        <v>386</v>
      </c>
      <c r="Q86" s="677">
        <f>VLOOKUP(P86,Apoio!C:E,2,0)</f>
        <v>246040</v>
      </c>
      <c r="R86" s="641" t="s">
        <v>316</v>
      </c>
      <c r="S86" s="378">
        <v>5</v>
      </c>
    </row>
    <row r="87" spans="15:88" ht="12.75" customHeight="1" thickBot="1" x14ac:dyDescent="0.25">
      <c r="O87" s="45">
        <v>72</v>
      </c>
      <c r="P87" s="640" t="s">
        <v>387</v>
      </c>
      <c r="Q87" s="677">
        <f>VLOOKUP(P87,Apoio!C:E,2,0)</f>
        <v>245940</v>
      </c>
      <c r="R87" s="641" t="s">
        <v>316</v>
      </c>
      <c r="S87" s="378">
        <v>5</v>
      </c>
    </row>
    <row r="88" spans="15:88" ht="12.75" customHeight="1" thickBot="1" x14ac:dyDescent="0.25">
      <c r="O88" s="43">
        <v>73</v>
      </c>
      <c r="P88" s="640" t="s">
        <v>388</v>
      </c>
      <c r="Q88" s="677">
        <f>VLOOKUP(P88,Apoio!C:E,2,0)</f>
        <v>245940</v>
      </c>
      <c r="R88" s="641" t="s">
        <v>316</v>
      </c>
      <c r="S88" s="378">
        <v>5</v>
      </c>
    </row>
    <row r="89" spans="15:88" ht="12.75" customHeight="1" thickBot="1" x14ac:dyDescent="0.25">
      <c r="O89" s="45">
        <v>74</v>
      </c>
      <c r="P89" s="640" t="s">
        <v>389</v>
      </c>
      <c r="Q89" s="677">
        <f>VLOOKUP(P89,Apoio!C:E,2,0)</f>
        <v>246040</v>
      </c>
      <c r="R89" s="641" t="s">
        <v>316</v>
      </c>
      <c r="S89" s="378">
        <v>5</v>
      </c>
    </row>
    <row r="90" spans="15:88" ht="12.75" customHeight="1" thickBot="1" x14ac:dyDescent="0.25">
      <c r="O90" s="43">
        <v>75</v>
      </c>
      <c r="P90" s="640" t="s">
        <v>390</v>
      </c>
      <c r="Q90" s="677">
        <f>VLOOKUP(P90,Apoio!C:E,2,0)</f>
        <v>246040</v>
      </c>
      <c r="R90" s="641" t="s">
        <v>316</v>
      </c>
      <c r="S90" s="378">
        <v>5</v>
      </c>
    </row>
    <row r="91" spans="15:88" ht="12.75" customHeight="1" thickBot="1" x14ac:dyDescent="0.25">
      <c r="O91" s="45">
        <v>76</v>
      </c>
      <c r="P91" s="640" t="s">
        <v>391</v>
      </c>
      <c r="Q91" s="677">
        <f>VLOOKUP(P91,Apoio!C:E,2,0)</f>
        <v>245940</v>
      </c>
      <c r="R91" s="641" t="s">
        <v>316</v>
      </c>
      <c r="S91" s="378">
        <v>5</v>
      </c>
    </row>
    <row r="92" spans="15:88" ht="12.75" customHeight="1" thickBot="1" x14ac:dyDescent="0.25">
      <c r="O92" s="43">
        <v>77</v>
      </c>
      <c r="P92" s="640" t="s">
        <v>392</v>
      </c>
      <c r="Q92" s="677">
        <f>VLOOKUP(P92,Apoio!C:E,2,0)</f>
        <v>245940</v>
      </c>
      <c r="R92" s="641" t="s">
        <v>316</v>
      </c>
      <c r="S92" s="378">
        <v>5</v>
      </c>
    </row>
    <row r="93" spans="15:88" ht="12.75" customHeight="1" thickBot="1" x14ac:dyDescent="0.25">
      <c r="O93" s="45">
        <v>78</v>
      </c>
      <c r="P93" s="640" t="s">
        <v>393</v>
      </c>
      <c r="Q93" s="677">
        <f>VLOOKUP(P93,Apoio!C:E,2,0)</f>
        <v>246040</v>
      </c>
      <c r="R93" s="641" t="s">
        <v>316</v>
      </c>
      <c r="S93" s="378">
        <v>5</v>
      </c>
    </row>
    <row r="94" spans="15:88" ht="12.75" customHeight="1" thickBot="1" x14ac:dyDescent="0.25">
      <c r="O94" s="43">
        <v>79</v>
      </c>
      <c r="P94" s="640" t="s">
        <v>394</v>
      </c>
      <c r="Q94" s="677">
        <f>VLOOKUP(P94,Apoio!C:E,2,0)</f>
        <v>246040</v>
      </c>
      <c r="R94" s="641" t="s">
        <v>316</v>
      </c>
      <c r="S94" s="378">
        <v>5</v>
      </c>
    </row>
    <row r="95" spans="15:88" ht="12.75" customHeight="1" thickBot="1" x14ac:dyDescent="0.25">
      <c r="O95" s="45">
        <v>80</v>
      </c>
      <c r="P95" s="640" t="s">
        <v>395</v>
      </c>
      <c r="Q95" s="677">
        <f>VLOOKUP(P95,Apoio!C:E,2,0)</f>
        <v>245940</v>
      </c>
      <c r="R95" s="641" t="s">
        <v>316</v>
      </c>
      <c r="S95" s="378">
        <v>5</v>
      </c>
    </row>
    <row r="96" spans="15:88" ht="12.75" customHeight="1" thickBot="1" x14ac:dyDescent="0.25">
      <c r="O96" s="43">
        <v>81</v>
      </c>
      <c r="P96" s="640" t="s">
        <v>396</v>
      </c>
      <c r="Q96" s="677">
        <f>VLOOKUP(P96,Apoio!C:E,2,0)</f>
        <v>245940</v>
      </c>
      <c r="R96" s="641" t="s">
        <v>316</v>
      </c>
      <c r="S96" s="378">
        <v>5</v>
      </c>
    </row>
    <row r="97" spans="15:19" ht="12.75" customHeight="1" thickBot="1" x14ac:dyDescent="0.25">
      <c r="O97" s="45">
        <v>82</v>
      </c>
      <c r="P97" s="640" t="s">
        <v>397</v>
      </c>
      <c r="Q97" s="677">
        <f>VLOOKUP(P97,Apoio!C:E,2,0)</f>
        <v>246040</v>
      </c>
      <c r="R97" s="641" t="s">
        <v>316</v>
      </c>
      <c r="S97" s="378">
        <v>5</v>
      </c>
    </row>
    <row r="98" spans="15:19" ht="12.75" customHeight="1" thickBot="1" x14ac:dyDescent="0.25">
      <c r="O98" s="43">
        <v>83</v>
      </c>
      <c r="P98" s="640" t="s">
        <v>398</v>
      </c>
      <c r="Q98" s="677">
        <f>VLOOKUP(P98,Apoio!C:E,2,0)</f>
        <v>246040</v>
      </c>
      <c r="R98" s="641" t="s">
        <v>316</v>
      </c>
      <c r="S98" s="378">
        <v>5</v>
      </c>
    </row>
    <row r="99" spans="15:19" ht="12.75" customHeight="1" thickBot="1" x14ac:dyDescent="0.25">
      <c r="O99" s="45">
        <v>84</v>
      </c>
      <c r="P99" s="640" t="s">
        <v>399</v>
      </c>
      <c r="Q99" s="677">
        <f>VLOOKUP(P99,Apoio!C:E,2,0)</f>
        <v>245940</v>
      </c>
      <c r="R99" s="641" t="s">
        <v>316</v>
      </c>
      <c r="S99" s="378">
        <v>5</v>
      </c>
    </row>
    <row r="100" spans="15:19" ht="12.75" customHeight="1" thickBot="1" x14ac:dyDescent="0.25">
      <c r="O100" s="43">
        <v>85</v>
      </c>
      <c r="P100" s="640" t="s">
        <v>400</v>
      </c>
      <c r="Q100" s="677">
        <f>VLOOKUP(P100,Apoio!C:E,2,0)</f>
        <v>245940</v>
      </c>
      <c r="R100" s="641" t="s">
        <v>316</v>
      </c>
      <c r="S100" s="378">
        <v>5</v>
      </c>
    </row>
    <row r="101" spans="15:19" ht="12.75" customHeight="1" thickBot="1" x14ac:dyDescent="0.25">
      <c r="O101" s="45">
        <v>86</v>
      </c>
      <c r="P101" s="640" t="s">
        <v>401</v>
      </c>
      <c r="Q101" s="677">
        <f>VLOOKUP(P101,Apoio!C:E,2,0)</f>
        <v>246040</v>
      </c>
      <c r="R101" s="641" t="s">
        <v>316</v>
      </c>
      <c r="S101" s="378">
        <v>5</v>
      </c>
    </row>
    <row r="102" spans="15:19" ht="12.75" customHeight="1" thickBot="1" x14ac:dyDescent="0.25">
      <c r="O102" s="43">
        <v>87</v>
      </c>
      <c r="P102" s="640" t="s">
        <v>402</v>
      </c>
      <c r="Q102" s="677">
        <f>VLOOKUP(P102,Apoio!C:E,2,0)</f>
        <v>246040</v>
      </c>
      <c r="R102" s="641" t="s">
        <v>403</v>
      </c>
      <c r="S102" s="378">
        <v>5</v>
      </c>
    </row>
    <row r="103" spans="15:19" ht="12.75" customHeight="1" thickBot="1" x14ac:dyDescent="0.25">
      <c r="O103" s="45">
        <v>88</v>
      </c>
      <c r="P103" s="640" t="s">
        <v>404</v>
      </c>
      <c r="Q103" s="677">
        <f>VLOOKUP(P103,Apoio!C:E,2,0)</f>
        <v>245940</v>
      </c>
      <c r="R103" s="641" t="s">
        <v>405</v>
      </c>
      <c r="S103" s="378">
        <v>5</v>
      </c>
    </row>
    <row r="104" spans="15:19" ht="12.75" customHeight="1" thickBot="1" x14ac:dyDescent="0.25">
      <c r="O104" s="43">
        <v>89</v>
      </c>
      <c r="P104" s="640" t="s">
        <v>406</v>
      </c>
      <c r="Q104" s="677">
        <f>VLOOKUP(P104,Apoio!C:E,2,0)</f>
        <v>245940</v>
      </c>
      <c r="R104" s="641" t="s">
        <v>405</v>
      </c>
      <c r="S104" s="378">
        <v>5</v>
      </c>
    </row>
    <row r="105" spans="15:19" ht="12.75" customHeight="1" thickBot="1" x14ac:dyDescent="0.25">
      <c r="O105" s="45">
        <v>90</v>
      </c>
      <c r="P105" s="640" t="s">
        <v>407</v>
      </c>
      <c r="Q105" s="677">
        <f>VLOOKUP(P105,Apoio!C:E,2,0)</f>
        <v>246040</v>
      </c>
      <c r="R105" s="641" t="s">
        <v>403</v>
      </c>
      <c r="S105" s="378">
        <v>5</v>
      </c>
    </row>
    <row r="106" spans="15:19" ht="12.75" customHeight="1" thickBot="1" x14ac:dyDescent="0.25">
      <c r="O106" s="43">
        <v>91</v>
      </c>
      <c r="P106" s="640" t="s">
        <v>408</v>
      </c>
      <c r="Q106" s="677">
        <f>VLOOKUP(P106,Apoio!C:E,2,0)</f>
        <v>246040</v>
      </c>
      <c r="R106" s="641" t="s">
        <v>403</v>
      </c>
      <c r="S106" s="378">
        <v>5</v>
      </c>
    </row>
    <row r="107" spans="15:19" ht="12.75" customHeight="1" thickBot="1" x14ac:dyDescent="0.25">
      <c r="O107" s="45">
        <v>92</v>
      </c>
      <c r="P107" s="640" t="s">
        <v>409</v>
      </c>
      <c r="Q107" s="677">
        <f>VLOOKUP(P107,Apoio!C:E,2,0)</f>
        <v>245940</v>
      </c>
      <c r="R107" s="641" t="s">
        <v>403</v>
      </c>
      <c r="S107" s="378">
        <v>5</v>
      </c>
    </row>
    <row r="108" spans="15:19" ht="12.75" customHeight="1" thickBot="1" x14ac:dyDescent="0.25">
      <c r="O108" s="43">
        <v>93</v>
      </c>
      <c r="P108" s="640" t="s">
        <v>410</v>
      </c>
      <c r="Q108" s="677">
        <f>VLOOKUP(P108,Apoio!C:E,2,0)</f>
        <v>245940</v>
      </c>
      <c r="R108" s="641" t="s">
        <v>403</v>
      </c>
      <c r="S108" s="378">
        <v>5</v>
      </c>
    </row>
    <row r="109" spans="15:19" ht="12.75" customHeight="1" thickBot="1" x14ac:dyDescent="0.25">
      <c r="O109" s="45">
        <v>94</v>
      </c>
      <c r="P109" s="640" t="s">
        <v>411</v>
      </c>
      <c r="Q109" s="677">
        <f>VLOOKUP(P109,Apoio!C:E,2,0)</f>
        <v>246040</v>
      </c>
      <c r="R109" s="641" t="s">
        <v>403</v>
      </c>
      <c r="S109" s="378">
        <v>5</v>
      </c>
    </row>
    <row r="110" spans="15:19" ht="12.75" customHeight="1" thickBot="1" x14ac:dyDescent="0.25">
      <c r="O110" s="43">
        <v>95</v>
      </c>
      <c r="P110" s="640" t="s">
        <v>412</v>
      </c>
      <c r="Q110" s="677">
        <f>VLOOKUP(P110,Apoio!C:E,2,0)</f>
        <v>246040</v>
      </c>
      <c r="R110" s="641" t="s">
        <v>403</v>
      </c>
      <c r="S110" s="378">
        <v>5</v>
      </c>
    </row>
    <row r="111" spans="15:19" ht="12.75" customHeight="1" thickBot="1" x14ac:dyDescent="0.25">
      <c r="O111" s="45">
        <v>96</v>
      </c>
      <c r="P111" s="640" t="s">
        <v>413</v>
      </c>
      <c r="Q111" s="677">
        <f>VLOOKUP(P111,Apoio!C:E,2,0)</f>
        <v>245940</v>
      </c>
      <c r="R111" s="641" t="s">
        <v>405</v>
      </c>
      <c r="S111" s="378">
        <v>5</v>
      </c>
    </row>
    <row r="112" spans="15:19" ht="12.75" customHeight="1" thickBot="1" x14ac:dyDescent="0.25">
      <c r="O112" s="43">
        <v>97</v>
      </c>
      <c r="P112" s="640" t="s">
        <v>414</v>
      </c>
      <c r="Q112" s="677">
        <f>VLOOKUP(P112,Apoio!C:E,2,0)</f>
        <v>245940</v>
      </c>
      <c r="R112" s="641" t="s">
        <v>405</v>
      </c>
      <c r="S112" s="378">
        <v>5</v>
      </c>
    </row>
    <row r="113" spans="15:19" ht="12.75" customHeight="1" thickBot="1" x14ac:dyDescent="0.25">
      <c r="O113" s="45">
        <v>98</v>
      </c>
      <c r="P113" s="640" t="s">
        <v>415</v>
      </c>
      <c r="Q113" s="677">
        <f>VLOOKUP(P113,Apoio!C:E,2,0)</f>
        <v>246040</v>
      </c>
      <c r="R113" s="641" t="s">
        <v>403</v>
      </c>
      <c r="S113" s="378">
        <v>5</v>
      </c>
    </row>
    <row r="114" spans="15:19" ht="12.75" customHeight="1" thickBot="1" x14ac:dyDescent="0.25">
      <c r="O114" s="43">
        <v>99</v>
      </c>
      <c r="P114" s="640" t="s">
        <v>416</v>
      </c>
      <c r="Q114" s="677">
        <f>VLOOKUP(P114,Apoio!C:E,2,0)</f>
        <v>246040</v>
      </c>
      <c r="R114" s="641" t="s">
        <v>403</v>
      </c>
      <c r="S114" s="378">
        <v>5</v>
      </c>
    </row>
    <row r="115" spans="15:19" ht="12.75" customHeight="1" thickBot="1" x14ac:dyDescent="0.25">
      <c r="O115" s="45">
        <v>100</v>
      </c>
      <c r="P115" s="640" t="s">
        <v>417</v>
      </c>
      <c r="Q115" s="677">
        <f>VLOOKUP(P115,Apoio!C:E,2,0)</f>
        <v>245940</v>
      </c>
      <c r="R115" s="641" t="s">
        <v>403</v>
      </c>
      <c r="S115" s="378">
        <v>5</v>
      </c>
    </row>
    <row r="116" spans="15:19" ht="12.75" customHeight="1" thickBot="1" x14ac:dyDescent="0.25">
      <c r="O116" s="43">
        <v>101</v>
      </c>
      <c r="P116" s="640" t="s">
        <v>418</v>
      </c>
      <c r="Q116" s="677">
        <f>VLOOKUP(P116,Apoio!C:E,2,0)</f>
        <v>245940</v>
      </c>
      <c r="R116" s="641" t="s">
        <v>403</v>
      </c>
      <c r="S116" s="378">
        <v>5</v>
      </c>
    </row>
    <row r="117" spans="15:19" ht="12.75" customHeight="1" thickBot="1" x14ac:dyDescent="0.25">
      <c r="O117" s="45">
        <v>102</v>
      </c>
      <c r="P117" s="640" t="s">
        <v>419</v>
      </c>
      <c r="Q117" s="677">
        <f>VLOOKUP(P117,Apoio!C:E,2,0)</f>
        <v>246040</v>
      </c>
      <c r="R117" s="641" t="s">
        <v>403</v>
      </c>
      <c r="S117" s="378">
        <v>5</v>
      </c>
    </row>
    <row r="118" spans="15:19" ht="12.75" customHeight="1" thickBot="1" x14ac:dyDescent="0.25">
      <c r="O118" s="43">
        <v>103</v>
      </c>
      <c r="P118" s="640" t="s">
        <v>420</v>
      </c>
      <c r="Q118" s="677">
        <f>VLOOKUP(P118,Apoio!C:E,2,0)</f>
        <v>246040</v>
      </c>
      <c r="R118" s="641" t="s">
        <v>403</v>
      </c>
      <c r="S118" s="378">
        <v>5</v>
      </c>
    </row>
    <row r="119" spans="15:19" ht="12.75" customHeight="1" thickBot="1" x14ac:dyDescent="0.25">
      <c r="O119" s="45">
        <v>104</v>
      </c>
      <c r="P119" s="640" t="s">
        <v>421</v>
      </c>
      <c r="Q119" s="677">
        <f>VLOOKUP(P119,Apoio!C:E,2,0)</f>
        <v>245940</v>
      </c>
      <c r="R119" s="641" t="s">
        <v>405</v>
      </c>
      <c r="S119" s="378">
        <v>5</v>
      </c>
    </row>
    <row r="120" spans="15:19" ht="12.75" customHeight="1" thickBot="1" x14ac:dyDescent="0.25">
      <c r="O120" s="43">
        <v>105</v>
      </c>
      <c r="P120" s="640" t="s">
        <v>422</v>
      </c>
      <c r="Q120" s="677">
        <f>VLOOKUP(P120,Apoio!C:E,2,0)</f>
        <v>245940</v>
      </c>
      <c r="R120" s="641" t="s">
        <v>405</v>
      </c>
      <c r="S120" s="378">
        <v>5</v>
      </c>
    </row>
    <row r="121" spans="15:19" ht="12.75" customHeight="1" thickBot="1" x14ac:dyDescent="0.25">
      <c r="O121" s="45">
        <v>106</v>
      </c>
      <c r="P121" s="640" t="s">
        <v>423</v>
      </c>
      <c r="Q121" s="677">
        <f>VLOOKUP(P121,Apoio!C:E,2,0)</f>
        <v>246030</v>
      </c>
      <c r="R121" s="641" t="s">
        <v>403</v>
      </c>
      <c r="S121" s="378">
        <v>5</v>
      </c>
    </row>
    <row r="122" spans="15:19" ht="12.75" customHeight="1" thickBot="1" x14ac:dyDescent="0.25">
      <c r="O122" s="43">
        <v>107</v>
      </c>
      <c r="P122" s="640" t="s">
        <v>424</v>
      </c>
      <c r="Q122" s="677">
        <f>VLOOKUP(P122,Apoio!C:E,2,0)</f>
        <v>246030</v>
      </c>
      <c r="R122" s="641" t="s">
        <v>403</v>
      </c>
      <c r="S122" s="378">
        <v>5</v>
      </c>
    </row>
    <row r="123" spans="15:19" ht="12.75" customHeight="1" thickBot="1" x14ac:dyDescent="0.25">
      <c r="O123" s="45">
        <v>108</v>
      </c>
      <c r="P123" s="640" t="s">
        <v>425</v>
      </c>
      <c r="Q123" s="677">
        <f>VLOOKUP(P123,Apoio!C:E,2,0)</f>
        <v>245940</v>
      </c>
      <c r="R123" s="641" t="s">
        <v>403</v>
      </c>
      <c r="S123" s="378">
        <v>5</v>
      </c>
    </row>
    <row r="124" spans="15:19" ht="12.75" customHeight="1" thickBot="1" x14ac:dyDescent="0.25">
      <c r="O124" s="43">
        <v>109</v>
      </c>
      <c r="P124" s="640" t="s">
        <v>426</v>
      </c>
      <c r="Q124" s="677">
        <f>VLOOKUP(P124,Apoio!C:E,2,0)</f>
        <v>245940</v>
      </c>
      <c r="R124" s="641" t="s">
        <v>403</v>
      </c>
      <c r="S124" s="378">
        <v>5</v>
      </c>
    </row>
    <row r="125" spans="15:19" ht="12.75" customHeight="1" thickBot="1" x14ac:dyDescent="0.25">
      <c r="O125" s="45">
        <v>110</v>
      </c>
      <c r="P125" s="640" t="s">
        <v>427</v>
      </c>
      <c r="Q125" s="677">
        <f>VLOOKUP(P125,Apoio!C:E,2,0)</f>
        <v>246040</v>
      </c>
      <c r="R125" s="641" t="s">
        <v>403</v>
      </c>
      <c r="S125" s="378">
        <v>5</v>
      </c>
    </row>
    <row r="126" spans="15:19" ht="12.75" customHeight="1" thickBot="1" x14ac:dyDescent="0.25">
      <c r="O126" s="43">
        <v>111</v>
      </c>
      <c r="P126" s="640" t="s">
        <v>428</v>
      </c>
      <c r="Q126" s="677">
        <f>VLOOKUP(P126,Apoio!C:E,2,0)</f>
        <v>246040</v>
      </c>
      <c r="R126" s="641" t="s">
        <v>403</v>
      </c>
      <c r="S126" s="378">
        <v>5</v>
      </c>
    </row>
    <row r="127" spans="15:19" ht="12.75" customHeight="1" thickBot="1" x14ac:dyDescent="0.25">
      <c r="O127" s="45">
        <v>112</v>
      </c>
      <c r="P127" s="640" t="s">
        <v>429</v>
      </c>
      <c r="Q127" s="677">
        <f>VLOOKUP(P127,Apoio!C:E,2,0)</f>
        <v>246010</v>
      </c>
      <c r="R127" s="641" t="s">
        <v>430</v>
      </c>
      <c r="S127" s="378">
        <v>5</v>
      </c>
    </row>
    <row r="128" spans="15:19" ht="12.75" customHeight="1" thickBot="1" x14ac:dyDescent="0.25">
      <c r="O128" s="43">
        <v>113</v>
      </c>
      <c r="P128" s="640" t="s">
        <v>431</v>
      </c>
      <c r="Q128" s="677">
        <f>VLOOKUP(P128,Apoio!C:E,2,0)</f>
        <v>246010</v>
      </c>
      <c r="R128" s="641" t="s">
        <v>430</v>
      </c>
      <c r="S128" s="378">
        <v>5</v>
      </c>
    </row>
    <row r="129" spans="15:19" ht="12.75" customHeight="1" thickBot="1" x14ac:dyDescent="0.25">
      <c r="O129" s="45">
        <v>114</v>
      </c>
      <c r="P129" s="640" t="s">
        <v>432</v>
      </c>
      <c r="Q129" s="677">
        <f>VLOOKUP(P129,Apoio!C:E,2,0)</f>
        <v>246030</v>
      </c>
      <c r="R129" s="641" t="s">
        <v>403</v>
      </c>
      <c r="S129" s="378">
        <v>5</v>
      </c>
    </row>
    <row r="130" spans="15:19" ht="12.75" customHeight="1" thickBot="1" x14ac:dyDescent="0.25">
      <c r="O130" s="43">
        <v>115</v>
      </c>
      <c r="P130" s="640" t="s">
        <v>433</v>
      </c>
      <c r="Q130" s="677">
        <f>VLOOKUP(P130,Apoio!C:E,2,0)</f>
        <v>246030</v>
      </c>
      <c r="R130" s="641" t="s">
        <v>403</v>
      </c>
      <c r="S130" s="378">
        <v>5</v>
      </c>
    </row>
    <row r="131" spans="15:19" ht="12.75" customHeight="1" thickBot="1" x14ac:dyDescent="0.25">
      <c r="O131" s="45">
        <v>116</v>
      </c>
      <c r="P131" s="640" t="s">
        <v>434</v>
      </c>
      <c r="Q131" s="677">
        <f>VLOOKUP(P131,Apoio!C:E,2,0)</f>
        <v>246010</v>
      </c>
      <c r="R131" s="641" t="s">
        <v>430</v>
      </c>
      <c r="S131" s="378">
        <v>5</v>
      </c>
    </row>
    <row r="132" spans="15:19" ht="12.75" customHeight="1" thickBot="1" x14ac:dyDescent="0.25">
      <c r="O132" s="43">
        <v>117</v>
      </c>
      <c r="P132" s="640" t="s">
        <v>435</v>
      </c>
      <c r="Q132" s="677">
        <f>VLOOKUP(P132,Apoio!C:E,2,0)</f>
        <v>246010</v>
      </c>
      <c r="R132" s="641" t="s">
        <v>430</v>
      </c>
      <c r="S132" s="378">
        <v>5</v>
      </c>
    </row>
    <row r="133" spans="15:19" ht="12.75" customHeight="1" thickBot="1" x14ac:dyDescent="0.25">
      <c r="O133" s="45">
        <v>118</v>
      </c>
      <c r="P133" s="640" t="s">
        <v>436</v>
      </c>
      <c r="Q133" s="677">
        <f>VLOOKUP(P133,Apoio!C:E,2,0)</f>
        <v>246040</v>
      </c>
      <c r="R133" s="641" t="s">
        <v>403</v>
      </c>
      <c r="S133" s="378">
        <v>5</v>
      </c>
    </row>
    <row r="134" spans="15:19" ht="12.75" customHeight="1" thickBot="1" x14ac:dyDescent="0.25">
      <c r="O134" s="43">
        <v>119</v>
      </c>
      <c r="P134" s="640" t="s">
        <v>437</v>
      </c>
      <c r="Q134" s="677">
        <f>VLOOKUP(P134,Apoio!C:E,2,0)</f>
        <v>216040</v>
      </c>
      <c r="R134" s="641" t="s">
        <v>316</v>
      </c>
      <c r="S134" s="378">
        <v>5</v>
      </c>
    </row>
    <row r="135" spans="15:19" ht="12.75" customHeight="1" thickBot="1" x14ac:dyDescent="0.25">
      <c r="O135" s="45">
        <v>120</v>
      </c>
      <c r="P135" s="640" t="s">
        <v>438</v>
      </c>
      <c r="Q135" s="677">
        <f>VLOOKUP(P135,Apoio!C:E,2,0)</f>
        <v>215940</v>
      </c>
      <c r="R135" s="641" t="s">
        <v>316</v>
      </c>
      <c r="S135" s="378">
        <v>5</v>
      </c>
    </row>
    <row r="136" spans="15:19" ht="12.75" customHeight="1" thickBot="1" x14ac:dyDescent="0.25">
      <c r="O136" s="43">
        <v>121</v>
      </c>
      <c r="P136" s="640" t="s">
        <v>439</v>
      </c>
      <c r="Q136" s="677">
        <f>VLOOKUP(P136,Apoio!C:E,2,0)</f>
        <v>215770</v>
      </c>
      <c r="R136" s="641" t="s">
        <v>316</v>
      </c>
      <c r="S136" s="378">
        <v>5</v>
      </c>
    </row>
    <row r="137" spans="15:19" ht="12.75" customHeight="1" thickBot="1" x14ac:dyDescent="0.25">
      <c r="O137" s="45">
        <v>122</v>
      </c>
      <c r="P137" s="640" t="s">
        <v>440</v>
      </c>
      <c r="Q137" s="677">
        <f>VLOOKUP(P137,Apoio!C:E,2,0)</f>
        <v>215710</v>
      </c>
      <c r="R137" s="641" t="s">
        <v>316</v>
      </c>
      <c r="S137" s="378">
        <v>5</v>
      </c>
    </row>
    <row r="138" spans="15:19" ht="12.75" customHeight="1" thickBot="1" x14ac:dyDescent="0.25">
      <c r="O138" s="43">
        <v>123</v>
      </c>
      <c r="P138" s="640" t="s">
        <v>441</v>
      </c>
      <c r="Q138" s="677">
        <f>VLOOKUP(P138,Apoio!C:E,2,0)</f>
        <v>215920</v>
      </c>
      <c r="R138" s="641" t="s">
        <v>316</v>
      </c>
      <c r="S138" s="378">
        <v>5</v>
      </c>
    </row>
    <row r="139" spans="15:19" ht="12.75" customHeight="1" thickBot="1" x14ac:dyDescent="0.25">
      <c r="O139" s="45">
        <v>124</v>
      </c>
      <c r="P139" s="640" t="s">
        <v>442</v>
      </c>
      <c r="Q139" s="677">
        <f>VLOOKUP(P139,Apoio!C:E,2,0)</f>
        <v>216030</v>
      </c>
      <c r="R139" s="641" t="s">
        <v>316</v>
      </c>
      <c r="S139" s="378">
        <v>5</v>
      </c>
    </row>
    <row r="140" spans="15:19" ht="12.75" customHeight="1" thickBot="1" x14ac:dyDescent="0.25">
      <c r="O140" s="43">
        <v>125</v>
      </c>
      <c r="P140" s="640" t="s">
        <v>443</v>
      </c>
      <c r="Q140" s="677">
        <f>VLOOKUP(P140,Apoio!C:E,2,0)</f>
        <v>215940</v>
      </c>
      <c r="R140" s="641" t="s">
        <v>316</v>
      </c>
      <c r="S140" s="378">
        <v>5</v>
      </c>
    </row>
    <row r="141" spans="15:19" ht="12.75" customHeight="1" thickBot="1" x14ac:dyDescent="0.25">
      <c r="O141" s="45">
        <v>126</v>
      </c>
      <c r="P141" s="640" t="s">
        <v>444</v>
      </c>
      <c r="Q141" s="677">
        <f>VLOOKUP(P141,Apoio!C:E,2,0)</f>
        <v>215940</v>
      </c>
      <c r="R141" s="641" t="s">
        <v>316</v>
      </c>
      <c r="S141" s="378">
        <v>5</v>
      </c>
    </row>
    <row r="142" spans="15:19" ht="12.75" customHeight="1" thickBot="1" x14ac:dyDescent="0.25">
      <c r="O142" s="43">
        <v>127</v>
      </c>
      <c r="P142" s="640" t="s">
        <v>445</v>
      </c>
      <c r="Q142" s="677">
        <f>VLOOKUP(P142,Apoio!C:E,2,0)</f>
        <v>215900</v>
      </c>
      <c r="R142" s="641" t="s">
        <v>316</v>
      </c>
      <c r="S142" s="378">
        <v>5</v>
      </c>
    </row>
    <row r="143" spans="15:19" ht="12.75" customHeight="1" thickBot="1" x14ac:dyDescent="0.25">
      <c r="O143" s="45">
        <v>128</v>
      </c>
      <c r="P143" s="640" t="s">
        <v>446</v>
      </c>
      <c r="Q143" s="677">
        <f>VLOOKUP(P143,Apoio!C:E,2,0)</f>
        <v>216040</v>
      </c>
      <c r="R143" s="641" t="s">
        <v>316</v>
      </c>
      <c r="S143" s="378">
        <v>5</v>
      </c>
    </row>
    <row r="144" spans="15:19" ht="12.75" customHeight="1" thickBot="1" x14ac:dyDescent="0.25">
      <c r="O144" s="43">
        <v>129</v>
      </c>
      <c r="P144" s="640" t="s">
        <v>447</v>
      </c>
      <c r="Q144" s="677">
        <f>VLOOKUP(P144,Apoio!C:E,2,0)</f>
        <v>215940</v>
      </c>
      <c r="R144" s="641" t="s">
        <v>316</v>
      </c>
      <c r="S144" s="378">
        <v>5</v>
      </c>
    </row>
    <row r="145" spans="15:19" ht="12.75" customHeight="1" thickBot="1" x14ac:dyDescent="0.25">
      <c r="O145" s="45">
        <v>130</v>
      </c>
      <c r="P145" s="640" t="s">
        <v>448</v>
      </c>
      <c r="Q145" s="677">
        <f>VLOOKUP(P145,Apoio!C:E,2,0)</f>
        <v>215940</v>
      </c>
      <c r="R145" s="641" t="s">
        <v>316</v>
      </c>
      <c r="S145" s="378">
        <v>5</v>
      </c>
    </row>
    <row r="146" spans="15:19" ht="12.75" customHeight="1" thickBot="1" x14ac:dyDescent="0.25">
      <c r="O146" s="43">
        <v>131</v>
      </c>
      <c r="P146" s="640" t="s">
        <v>449</v>
      </c>
      <c r="Q146" s="677">
        <f>VLOOKUP(P146,Apoio!C:E,2,0)</f>
        <v>216030</v>
      </c>
      <c r="R146" s="641" t="s">
        <v>316</v>
      </c>
      <c r="S146" s="378">
        <v>5</v>
      </c>
    </row>
    <row r="147" spans="15:19" ht="12.75" customHeight="1" thickBot="1" x14ac:dyDescent="0.25">
      <c r="O147" s="45">
        <v>132</v>
      </c>
      <c r="P147" s="640" t="s">
        <v>450</v>
      </c>
      <c r="Q147" s="677">
        <f>VLOOKUP(P147,Apoio!C:E,2,0)</f>
        <v>216030</v>
      </c>
      <c r="R147" s="641" t="s">
        <v>316</v>
      </c>
      <c r="S147" s="378">
        <v>5</v>
      </c>
    </row>
    <row r="148" spans="15:19" ht="12.75" customHeight="1" thickBot="1" x14ac:dyDescent="0.25">
      <c r="O148" s="43">
        <v>133</v>
      </c>
      <c r="P148" s="640" t="s">
        <v>451</v>
      </c>
      <c r="Q148" s="677">
        <f>VLOOKUP(P148,Apoio!C:E,2,0)</f>
        <v>215940</v>
      </c>
      <c r="R148" s="641" t="s">
        <v>316</v>
      </c>
      <c r="S148" s="378">
        <v>5</v>
      </c>
    </row>
    <row r="149" spans="15:19" ht="12.75" customHeight="1" thickBot="1" x14ac:dyDescent="0.25">
      <c r="O149" s="45">
        <v>134</v>
      </c>
      <c r="P149" s="640" t="s">
        <v>452</v>
      </c>
      <c r="Q149" s="677">
        <f>VLOOKUP(P149,Apoio!C:E,2,0)</f>
        <v>215940</v>
      </c>
      <c r="R149" s="641" t="s">
        <v>316</v>
      </c>
      <c r="S149" s="378">
        <v>5</v>
      </c>
    </row>
    <row r="150" spans="15:19" ht="12.75" customHeight="1" thickBot="1" x14ac:dyDescent="0.25">
      <c r="O150" s="43">
        <v>135</v>
      </c>
      <c r="P150" s="640" t="s">
        <v>453</v>
      </c>
      <c r="Q150" s="677">
        <f>VLOOKUP(P150,Apoio!C:E,2,0)</f>
        <v>216040</v>
      </c>
      <c r="R150" s="641" t="s">
        <v>316</v>
      </c>
      <c r="S150" s="378">
        <v>5</v>
      </c>
    </row>
    <row r="151" spans="15:19" ht="12.75" customHeight="1" thickBot="1" x14ac:dyDescent="0.25">
      <c r="O151" s="45">
        <v>136</v>
      </c>
      <c r="P151" s="640" t="s">
        <v>454</v>
      </c>
      <c r="Q151" s="677">
        <f>VLOOKUP(P151,Apoio!C:E,2,0)</f>
        <v>216040</v>
      </c>
      <c r="R151" s="641" t="s">
        <v>316</v>
      </c>
      <c r="S151" s="378">
        <v>5</v>
      </c>
    </row>
    <row r="152" spans="15:19" ht="12.75" customHeight="1" thickBot="1" x14ac:dyDescent="0.25">
      <c r="O152" s="43">
        <v>137</v>
      </c>
      <c r="P152" s="640" t="s">
        <v>455</v>
      </c>
      <c r="Q152" s="677">
        <f>VLOOKUP(P152,Apoio!C:E,2,0)</f>
        <v>215940</v>
      </c>
      <c r="R152" s="641" t="s">
        <v>316</v>
      </c>
      <c r="S152" s="378">
        <v>5</v>
      </c>
    </row>
    <row r="153" spans="15:19" ht="12.75" customHeight="1" thickBot="1" x14ac:dyDescent="0.25">
      <c r="O153" s="45">
        <v>138</v>
      </c>
      <c r="P153" s="640" t="s">
        <v>456</v>
      </c>
      <c r="Q153" s="677">
        <f>VLOOKUP(P153,Apoio!C:E,2,0)</f>
        <v>215940</v>
      </c>
      <c r="R153" s="641" t="s">
        <v>316</v>
      </c>
      <c r="S153" s="378">
        <v>5</v>
      </c>
    </row>
    <row r="154" spans="15:19" ht="12.75" customHeight="1" thickBot="1" x14ac:dyDescent="0.25">
      <c r="O154" s="43">
        <v>139</v>
      </c>
      <c r="P154" s="640" t="s">
        <v>457</v>
      </c>
      <c r="Q154" s="677">
        <f>VLOOKUP(P154,Apoio!C:E,2,0)</f>
        <v>216010</v>
      </c>
      <c r="R154" s="641" t="s">
        <v>316</v>
      </c>
      <c r="S154" s="378">
        <v>5</v>
      </c>
    </row>
    <row r="155" spans="15:19" ht="12.75" customHeight="1" thickBot="1" x14ac:dyDescent="0.25">
      <c r="O155" s="45">
        <v>140</v>
      </c>
      <c r="P155" s="640" t="s">
        <v>458</v>
      </c>
      <c r="Q155" s="677">
        <f>VLOOKUP(P155,Apoio!C:E,2,0)</f>
        <v>216040</v>
      </c>
      <c r="R155" s="641" t="s">
        <v>316</v>
      </c>
      <c r="S155" s="378">
        <v>5</v>
      </c>
    </row>
    <row r="156" spans="15:19" ht="12.75" customHeight="1" thickBot="1" x14ac:dyDescent="0.25">
      <c r="O156" s="43">
        <v>141</v>
      </c>
      <c r="P156" s="640" t="s">
        <v>459</v>
      </c>
      <c r="Q156" s="677">
        <f>VLOOKUP(P156,Apoio!C:E,2,0)</f>
        <v>215940</v>
      </c>
      <c r="R156" s="641" t="s">
        <v>316</v>
      </c>
      <c r="S156" s="378">
        <v>5</v>
      </c>
    </row>
    <row r="157" spans="15:19" ht="12.75" customHeight="1" thickBot="1" x14ac:dyDescent="0.25">
      <c r="O157" s="45">
        <v>142</v>
      </c>
      <c r="P157" s="640" t="s">
        <v>460</v>
      </c>
      <c r="Q157" s="677">
        <f>VLOOKUP(P157,Apoio!C:E,2,0)</f>
        <v>215940</v>
      </c>
      <c r="R157" s="641" t="s">
        <v>316</v>
      </c>
      <c r="S157" s="378">
        <v>5</v>
      </c>
    </row>
    <row r="158" spans="15:19" ht="12.75" customHeight="1" thickBot="1" x14ac:dyDescent="0.25">
      <c r="O158" s="43">
        <v>143</v>
      </c>
      <c r="P158" s="640" t="s">
        <v>461</v>
      </c>
      <c r="Q158" s="677">
        <f>VLOOKUP(P158,Apoio!C:E,2,0)</f>
        <v>216040</v>
      </c>
      <c r="R158" s="641" t="s">
        <v>316</v>
      </c>
      <c r="S158" s="378">
        <v>5</v>
      </c>
    </row>
    <row r="159" spans="15:19" ht="12.75" customHeight="1" thickBot="1" x14ac:dyDescent="0.25">
      <c r="O159" s="45">
        <v>144</v>
      </c>
      <c r="P159" s="640" t="s">
        <v>462</v>
      </c>
      <c r="Q159" s="677">
        <f>VLOOKUP(P159,Apoio!C:E,2,0)</f>
        <v>216040</v>
      </c>
      <c r="R159" s="641" t="s">
        <v>316</v>
      </c>
      <c r="S159" s="378">
        <v>5</v>
      </c>
    </row>
    <row r="160" spans="15:19" ht="12.75" customHeight="1" thickBot="1" x14ac:dyDescent="0.25">
      <c r="O160" s="43">
        <v>145</v>
      </c>
      <c r="P160" s="640" t="s">
        <v>463</v>
      </c>
      <c r="Q160" s="677">
        <f>VLOOKUP(P160,Apoio!C:E,2,0)</f>
        <v>215940</v>
      </c>
      <c r="R160" s="641" t="s">
        <v>316</v>
      </c>
      <c r="S160" s="378">
        <v>5</v>
      </c>
    </row>
    <row r="161" spans="15:19" ht="12.75" customHeight="1" thickBot="1" x14ac:dyDescent="0.25">
      <c r="O161" s="45">
        <v>146</v>
      </c>
      <c r="P161" s="640" t="s">
        <v>464</v>
      </c>
      <c r="Q161" s="677">
        <f>VLOOKUP(P161,Apoio!C:E,2,0)</f>
        <v>215940</v>
      </c>
      <c r="R161" s="641" t="s">
        <v>316</v>
      </c>
      <c r="S161" s="378">
        <v>5</v>
      </c>
    </row>
    <row r="162" spans="15:19" ht="12.75" customHeight="1" thickBot="1" x14ac:dyDescent="0.25">
      <c r="O162" s="43">
        <v>147</v>
      </c>
      <c r="P162" s="640" t="s">
        <v>465</v>
      </c>
      <c r="Q162" s="677">
        <f>VLOOKUP(P162,Apoio!C:E,2,0)</f>
        <v>216040</v>
      </c>
      <c r="R162" s="641" t="s">
        <v>316</v>
      </c>
      <c r="S162" s="378">
        <v>5</v>
      </c>
    </row>
    <row r="163" spans="15:19" ht="12.75" customHeight="1" thickBot="1" x14ac:dyDescent="0.25">
      <c r="O163" s="45">
        <v>148</v>
      </c>
      <c r="P163" s="640" t="s">
        <v>466</v>
      </c>
      <c r="Q163" s="677">
        <f>VLOOKUP(P163,Apoio!C:E,2,0)</f>
        <v>246040</v>
      </c>
      <c r="R163" s="641" t="s">
        <v>316</v>
      </c>
      <c r="S163" s="378">
        <v>5</v>
      </c>
    </row>
    <row r="164" spans="15:19" ht="12.75" customHeight="1" thickBot="1" x14ac:dyDescent="0.25">
      <c r="O164" s="43">
        <v>149</v>
      </c>
      <c r="P164" s="640" t="s">
        <v>467</v>
      </c>
      <c r="Q164" s="677">
        <f>VLOOKUP(P164,Apoio!C:E,2,0)</f>
        <v>245940</v>
      </c>
      <c r="R164" s="641" t="s">
        <v>316</v>
      </c>
      <c r="S164" s="378">
        <v>5</v>
      </c>
    </row>
    <row r="165" spans="15:19" ht="12.75" customHeight="1" thickBot="1" x14ac:dyDescent="0.25">
      <c r="O165" s="45">
        <v>150</v>
      </c>
      <c r="P165" s="640" t="s">
        <v>468</v>
      </c>
      <c r="Q165" s="677">
        <f>VLOOKUP(P165,Apoio!C:E,2,0)</f>
        <v>245940</v>
      </c>
      <c r="R165" s="641" t="s">
        <v>316</v>
      </c>
      <c r="S165" s="378">
        <v>5</v>
      </c>
    </row>
    <row r="166" spans="15:19" ht="12.75" customHeight="1" thickBot="1" x14ac:dyDescent="0.25">
      <c r="O166" s="43">
        <v>151</v>
      </c>
      <c r="P166" s="640" t="s">
        <v>469</v>
      </c>
      <c r="Q166" s="677">
        <f>VLOOKUP(P166,Apoio!C:E,2,0)</f>
        <v>246040</v>
      </c>
      <c r="R166" s="641" t="s">
        <v>316</v>
      </c>
      <c r="S166" s="378">
        <v>5</v>
      </c>
    </row>
    <row r="167" spans="15:19" ht="12.75" customHeight="1" thickBot="1" x14ac:dyDescent="0.25">
      <c r="O167" s="45">
        <v>152</v>
      </c>
      <c r="P167" s="640" t="s">
        <v>470</v>
      </c>
      <c r="Q167" s="677">
        <f>VLOOKUP(P167,Apoio!C:E,2,0)</f>
        <v>246040</v>
      </c>
      <c r="R167" s="641" t="s">
        <v>316</v>
      </c>
      <c r="S167" s="378">
        <v>5</v>
      </c>
    </row>
    <row r="168" spans="15:19" ht="12.75" customHeight="1" thickBot="1" x14ac:dyDescent="0.25">
      <c r="O168" s="43">
        <v>153</v>
      </c>
      <c r="P168" s="640" t="s">
        <v>471</v>
      </c>
      <c r="Q168" s="677">
        <f>VLOOKUP(P168,Apoio!C:E,2,0)</f>
        <v>245940</v>
      </c>
      <c r="R168" s="641" t="s">
        <v>316</v>
      </c>
      <c r="S168" s="378">
        <v>5</v>
      </c>
    </row>
    <row r="169" spans="15:19" ht="12.75" customHeight="1" thickBot="1" x14ac:dyDescent="0.25">
      <c r="O169" s="45">
        <v>154</v>
      </c>
      <c r="P169" s="640" t="s">
        <v>472</v>
      </c>
      <c r="Q169" s="677">
        <f>VLOOKUP(P169,Apoio!C:E,2,0)</f>
        <v>245940</v>
      </c>
      <c r="R169" s="641" t="s">
        <v>316</v>
      </c>
      <c r="S169" s="378">
        <v>5</v>
      </c>
    </row>
    <row r="170" spans="15:19" ht="12.75" customHeight="1" thickBot="1" x14ac:dyDescent="0.25">
      <c r="O170" s="43">
        <v>155</v>
      </c>
      <c r="P170" s="640" t="s">
        <v>473</v>
      </c>
      <c r="Q170" s="677">
        <f>VLOOKUP(P170,Apoio!C:E,2,0)</f>
        <v>246040</v>
      </c>
      <c r="R170" s="641" t="s">
        <v>316</v>
      </c>
      <c r="S170" s="378">
        <v>5</v>
      </c>
    </row>
    <row r="171" spans="15:19" ht="12.75" customHeight="1" thickBot="1" x14ac:dyDescent="0.25">
      <c r="O171" s="45">
        <v>156</v>
      </c>
      <c r="P171" s="640" t="s">
        <v>474</v>
      </c>
      <c r="Q171" s="677">
        <f>VLOOKUP(P171,Apoio!C:E,2,0)</f>
        <v>246030</v>
      </c>
      <c r="R171" s="641" t="s">
        <v>316</v>
      </c>
      <c r="S171" s="378">
        <v>5</v>
      </c>
    </row>
    <row r="172" spans="15:19" ht="12.75" customHeight="1" thickBot="1" x14ac:dyDescent="0.25">
      <c r="O172" s="43">
        <v>157</v>
      </c>
      <c r="P172" s="640" t="s">
        <v>475</v>
      </c>
      <c r="Q172" s="677">
        <f>VLOOKUP(P172,Apoio!C:E,2,0)</f>
        <v>245940</v>
      </c>
      <c r="R172" s="641" t="s">
        <v>316</v>
      </c>
      <c r="S172" s="378">
        <v>5</v>
      </c>
    </row>
    <row r="173" spans="15:19" ht="12.75" customHeight="1" thickBot="1" x14ac:dyDescent="0.25">
      <c r="O173" s="45">
        <v>158</v>
      </c>
      <c r="P173" s="640" t="s">
        <v>476</v>
      </c>
      <c r="Q173" s="677">
        <f>VLOOKUP(P173,Apoio!C:E,2,0)</f>
        <v>245940</v>
      </c>
      <c r="R173" s="641" t="s">
        <v>316</v>
      </c>
      <c r="S173" s="378">
        <v>5</v>
      </c>
    </row>
    <row r="174" spans="15:19" ht="12.75" customHeight="1" thickBot="1" x14ac:dyDescent="0.25">
      <c r="O174" s="43">
        <v>159</v>
      </c>
      <c r="P174" s="640" t="s">
        <v>477</v>
      </c>
      <c r="Q174" s="677">
        <f>VLOOKUP(P174,Apoio!C:E,2,0)</f>
        <v>246040</v>
      </c>
      <c r="R174" s="641" t="s">
        <v>316</v>
      </c>
      <c r="S174" s="378">
        <v>5</v>
      </c>
    </row>
    <row r="175" spans="15:19" ht="12.75" customHeight="1" thickBot="1" x14ac:dyDescent="0.25">
      <c r="O175" s="45">
        <v>160</v>
      </c>
      <c r="P175" s="640" t="s">
        <v>478</v>
      </c>
      <c r="Q175" s="677">
        <f>VLOOKUP(P175,Apoio!C:E,2,0)</f>
        <v>246040</v>
      </c>
      <c r="R175" s="641" t="s">
        <v>316</v>
      </c>
      <c r="S175" s="378">
        <v>5</v>
      </c>
    </row>
    <row r="176" spans="15:19" ht="12.75" customHeight="1" thickBot="1" x14ac:dyDescent="0.25">
      <c r="O176" s="43">
        <v>161</v>
      </c>
      <c r="P176" s="640" t="s">
        <v>479</v>
      </c>
      <c r="Q176" s="677">
        <f>VLOOKUP(P176,Apoio!C:E,2,0)</f>
        <v>245940</v>
      </c>
      <c r="R176" s="641" t="s">
        <v>316</v>
      </c>
      <c r="S176" s="378">
        <v>5</v>
      </c>
    </row>
    <row r="177" spans="15:27" ht="12.75" customHeight="1" thickBot="1" x14ac:dyDescent="0.25">
      <c r="O177" s="45">
        <v>162</v>
      </c>
      <c r="P177" s="640" t="s">
        <v>480</v>
      </c>
      <c r="Q177" s="677">
        <f>VLOOKUP(P177,Apoio!C:E,2,0)</f>
        <v>245940</v>
      </c>
      <c r="R177" s="641" t="s">
        <v>316</v>
      </c>
      <c r="S177" s="378">
        <v>5</v>
      </c>
    </row>
    <row r="178" spans="15:27" ht="13.5" thickBot="1" x14ac:dyDescent="0.25">
      <c r="O178" s="43">
        <v>163</v>
      </c>
      <c r="P178" s="640" t="s">
        <v>481</v>
      </c>
      <c r="Q178" s="677">
        <f>VLOOKUP(P178,Apoio!C:E,2,0)</f>
        <v>246030</v>
      </c>
      <c r="R178" s="641" t="s">
        <v>316</v>
      </c>
      <c r="S178" s="378">
        <v>5</v>
      </c>
      <c r="U178" s="405"/>
      <c r="V178" s="376"/>
      <c r="Z178" s="405"/>
      <c r="AA178" s="564"/>
    </row>
    <row r="179" spans="15:27" ht="13.5" thickBot="1" x14ac:dyDescent="0.25">
      <c r="O179" s="45">
        <v>164</v>
      </c>
      <c r="P179" s="640" t="s">
        <v>482</v>
      </c>
      <c r="Q179" s="677">
        <f>VLOOKUP(P179,Apoio!C:E,2,0)</f>
        <v>246030</v>
      </c>
      <c r="R179" s="641" t="s">
        <v>316</v>
      </c>
      <c r="S179" s="378">
        <v>5</v>
      </c>
      <c r="U179" s="405"/>
      <c r="V179" s="376"/>
      <c r="Z179" s="405"/>
      <c r="AA179" s="564"/>
    </row>
    <row r="180" spans="15:27" ht="13.5" thickBot="1" x14ac:dyDescent="0.25">
      <c r="O180" s="43">
        <v>165</v>
      </c>
      <c r="P180" s="640" t="s">
        <v>483</v>
      </c>
      <c r="Q180" s="677">
        <f>VLOOKUP(P180,Apoio!C:E,2,0)</f>
        <v>245940</v>
      </c>
      <c r="R180" s="641" t="s">
        <v>316</v>
      </c>
      <c r="S180" s="378">
        <v>5</v>
      </c>
      <c r="U180" s="405"/>
      <c r="V180" s="376"/>
      <c r="Z180" s="405"/>
      <c r="AA180" s="564"/>
    </row>
    <row r="181" spans="15:27" ht="13.5" thickBot="1" x14ac:dyDescent="0.25">
      <c r="O181" s="45">
        <v>166</v>
      </c>
      <c r="P181" s="640" t="s">
        <v>484</v>
      </c>
      <c r="Q181" s="677">
        <f>VLOOKUP(P181,Apoio!C:E,2,0)</f>
        <v>245940</v>
      </c>
      <c r="R181" s="641" t="s">
        <v>316</v>
      </c>
      <c r="S181" s="378">
        <v>5</v>
      </c>
      <c r="U181" s="405"/>
      <c r="V181" s="376"/>
      <c r="Z181" s="405"/>
      <c r="AA181" s="564"/>
    </row>
    <row r="182" spans="15:27" ht="13.5" thickBot="1" x14ac:dyDescent="0.25">
      <c r="O182" s="43">
        <v>167</v>
      </c>
      <c r="P182" s="640" t="s">
        <v>485</v>
      </c>
      <c r="Q182" s="677">
        <f>VLOOKUP(P182,Apoio!C:E,2,0)</f>
        <v>246040</v>
      </c>
      <c r="R182" s="641" t="s">
        <v>316</v>
      </c>
      <c r="S182" s="378">
        <v>5</v>
      </c>
      <c r="U182" s="405"/>
      <c r="V182" s="376"/>
      <c r="Z182" s="405"/>
      <c r="AA182" s="564"/>
    </row>
    <row r="183" spans="15:27" ht="13.5" thickBot="1" x14ac:dyDescent="0.25">
      <c r="O183" s="45">
        <v>168</v>
      </c>
      <c r="P183" s="640" t="s">
        <v>486</v>
      </c>
      <c r="Q183" s="677">
        <f>VLOOKUP(P183,Apoio!C:E,2,0)</f>
        <v>246040</v>
      </c>
      <c r="R183" s="641" t="s">
        <v>316</v>
      </c>
      <c r="S183" s="378">
        <v>5</v>
      </c>
      <c r="U183" s="405"/>
      <c r="V183" s="376"/>
      <c r="Z183" s="405"/>
      <c r="AA183" s="564"/>
    </row>
    <row r="184" spans="15:27" ht="13.5" thickBot="1" x14ac:dyDescent="0.25">
      <c r="O184" s="43">
        <v>169</v>
      </c>
      <c r="P184" s="640" t="s">
        <v>487</v>
      </c>
      <c r="Q184" s="677">
        <f>VLOOKUP(P184,Apoio!C:E,2,0)</f>
        <v>245940</v>
      </c>
      <c r="R184" s="641" t="s">
        <v>316</v>
      </c>
      <c r="S184" s="378">
        <v>5</v>
      </c>
      <c r="U184" s="405"/>
      <c r="V184" s="376"/>
      <c r="Z184" s="405"/>
      <c r="AA184" s="564"/>
    </row>
    <row r="185" spans="15:27" ht="13.5" thickBot="1" x14ac:dyDescent="0.25">
      <c r="O185" s="45">
        <v>170</v>
      </c>
      <c r="P185" s="640" t="s">
        <v>488</v>
      </c>
      <c r="Q185" s="677">
        <f>VLOOKUP(P185,Apoio!C:E,2,0)</f>
        <v>245940</v>
      </c>
      <c r="R185" s="641" t="s">
        <v>316</v>
      </c>
      <c r="S185" s="378">
        <v>5</v>
      </c>
      <c r="U185" s="405"/>
      <c r="V185" s="376"/>
      <c r="Z185" s="405"/>
      <c r="AA185" s="564"/>
    </row>
    <row r="186" spans="15:27" ht="13.5" thickBot="1" x14ac:dyDescent="0.25">
      <c r="O186" s="43">
        <v>171</v>
      </c>
      <c r="P186" s="640" t="s">
        <v>489</v>
      </c>
      <c r="Q186" s="677">
        <f>VLOOKUP(P186,Apoio!C:E,2,0)</f>
        <v>246030</v>
      </c>
      <c r="R186" s="641" t="s">
        <v>316</v>
      </c>
      <c r="S186" s="378">
        <v>5</v>
      </c>
      <c r="U186" s="405"/>
      <c r="V186" s="376"/>
      <c r="Z186" s="405"/>
      <c r="AA186" s="564"/>
    </row>
    <row r="187" spans="15:27" ht="13.5" thickBot="1" x14ac:dyDescent="0.25">
      <c r="O187" s="45">
        <v>172</v>
      </c>
      <c r="P187" s="640" t="s">
        <v>490</v>
      </c>
      <c r="Q187" s="677">
        <f>VLOOKUP(P187,Apoio!C:E,2,0)</f>
        <v>246030</v>
      </c>
      <c r="R187" s="641" t="s">
        <v>316</v>
      </c>
      <c r="S187" s="378">
        <v>5</v>
      </c>
      <c r="U187" s="405"/>
      <c r="V187" s="376"/>
      <c r="Z187" s="405"/>
      <c r="AA187" s="564"/>
    </row>
    <row r="188" spans="15:27" ht="13.5" thickBot="1" x14ac:dyDescent="0.25">
      <c r="O188" s="43">
        <v>173</v>
      </c>
      <c r="P188" s="640" t="s">
        <v>491</v>
      </c>
      <c r="Q188" s="677">
        <f>VLOOKUP(P188,Apoio!C:E,2,0)</f>
        <v>245940</v>
      </c>
      <c r="R188" s="641" t="s">
        <v>316</v>
      </c>
      <c r="S188" s="378">
        <v>5</v>
      </c>
      <c r="U188" s="405"/>
      <c r="V188" s="376"/>
      <c r="Z188" s="405"/>
      <c r="AA188" s="564"/>
    </row>
    <row r="189" spans="15:27" ht="13.5" thickBot="1" x14ac:dyDescent="0.25">
      <c r="O189" s="45">
        <v>174</v>
      </c>
      <c r="P189" s="640" t="s">
        <v>492</v>
      </c>
      <c r="Q189" s="677">
        <f>VLOOKUP(P189,Apoio!C:E,2,0)</f>
        <v>245940</v>
      </c>
      <c r="R189" s="641" t="s">
        <v>316</v>
      </c>
      <c r="S189" s="378">
        <v>5</v>
      </c>
    </row>
    <row r="190" spans="15:27" ht="13.5" thickBot="1" x14ac:dyDescent="0.25">
      <c r="O190" s="43">
        <v>175</v>
      </c>
      <c r="P190" s="640" t="s">
        <v>493</v>
      </c>
      <c r="Q190" s="677">
        <f>VLOOKUP(P190,Apoio!C:E,2,0)</f>
        <v>246040</v>
      </c>
      <c r="R190" s="641" t="s">
        <v>316</v>
      </c>
      <c r="S190" s="378">
        <v>5</v>
      </c>
    </row>
    <row r="191" spans="15:27" ht="13.5" thickBot="1" x14ac:dyDescent="0.25">
      <c r="O191" s="45">
        <v>176</v>
      </c>
      <c r="P191" s="640" t="s">
        <v>494</v>
      </c>
      <c r="Q191" s="677">
        <f>VLOOKUP(P191,Apoio!C:E,2,0)</f>
        <v>246040</v>
      </c>
      <c r="R191" s="641" t="s">
        <v>316</v>
      </c>
      <c r="S191" s="378">
        <v>5</v>
      </c>
    </row>
    <row r="192" spans="15:27" ht="13.5" thickBot="1" x14ac:dyDescent="0.25">
      <c r="O192" s="43">
        <v>177</v>
      </c>
      <c r="P192" s="640" t="s">
        <v>495</v>
      </c>
      <c r="Q192" s="677">
        <f>VLOOKUP(P192,Apoio!C:E,2,0)</f>
        <v>245940</v>
      </c>
      <c r="R192" s="641" t="s">
        <v>316</v>
      </c>
      <c r="S192" s="378">
        <v>5</v>
      </c>
    </row>
    <row r="193" spans="15:19" ht="13.5" thickBot="1" x14ac:dyDescent="0.25">
      <c r="O193" s="45">
        <v>178</v>
      </c>
      <c r="P193" s="640" t="s">
        <v>496</v>
      </c>
      <c r="Q193" s="677">
        <f>VLOOKUP(P193,Apoio!C:E,2,0)</f>
        <v>245940</v>
      </c>
      <c r="R193" s="641" t="s">
        <v>316</v>
      </c>
      <c r="S193" s="378">
        <v>5</v>
      </c>
    </row>
    <row r="194" spans="15:19" ht="13.5" thickBot="1" x14ac:dyDescent="0.25">
      <c r="O194" s="43">
        <v>179</v>
      </c>
      <c r="P194" s="640" t="s">
        <v>497</v>
      </c>
      <c r="Q194" s="677">
        <f>VLOOKUP(P194,Apoio!C:E,2,0)</f>
        <v>246030</v>
      </c>
      <c r="R194" s="641" t="s">
        <v>316</v>
      </c>
      <c r="S194" s="378">
        <v>5</v>
      </c>
    </row>
    <row r="195" spans="15:19" ht="13.5" thickBot="1" x14ac:dyDescent="0.25">
      <c r="O195" s="45">
        <v>180</v>
      </c>
      <c r="P195" s="640" t="s">
        <v>498</v>
      </c>
      <c r="Q195" s="677">
        <f>VLOOKUP(P195,Apoio!C:E,2,0)</f>
        <v>246030</v>
      </c>
      <c r="R195" s="641" t="s">
        <v>316</v>
      </c>
      <c r="S195" s="378">
        <v>5</v>
      </c>
    </row>
    <row r="196" spans="15:19" ht="13.5" thickBot="1" x14ac:dyDescent="0.25">
      <c r="O196" s="43">
        <v>181</v>
      </c>
      <c r="P196" s="640" t="s">
        <v>499</v>
      </c>
      <c r="Q196" s="677">
        <f>VLOOKUP(P196,Apoio!C:E,2,0)</f>
        <v>245940</v>
      </c>
      <c r="R196" s="641" t="s">
        <v>316</v>
      </c>
      <c r="S196" s="378">
        <v>5</v>
      </c>
    </row>
    <row r="197" spans="15:19" ht="13.5" thickBot="1" x14ac:dyDescent="0.25">
      <c r="O197" s="45">
        <v>182</v>
      </c>
      <c r="P197" s="640" t="s">
        <v>500</v>
      </c>
      <c r="Q197" s="677">
        <f>VLOOKUP(P197,Apoio!C:E,2,0)</f>
        <v>245940</v>
      </c>
      <c r="R197" s="641" t="s">
        <v>316</v>
      </c>
      <c r="S197" s="378">
        <v>5</v>
      </c>
    </row>
    <row r="198" spans="15:19" ht="13.5" thickBot="1" x14ac:dyDescent="0.25">
      <c r="O198" s="43">
        <v>183</v>
      </c>
      <c r="P198" s="640" t="s">
        <v>501</v>
      </c>
      <c r="Q198" s="677">
        <f>VLOOKUP(P198,Apoio!C:E,2,0)</f>
        <v>246040</v>
      </c>
      <c r="R198" s="641" t="s">
        <v>316</v>
      </c>
      <c r="S198" s="378">
        <v>5</v>
      </c>
    </row>
    <row r="199" spans="15:19" ht="13.5" thickBot="1" x14ac:dyDescent="0.25">
      <c r="O199" s="45">
        <v>184</v>
      </c>
      <c r="P199" s="640" t="s">
        <v>502</v>
      </c>
      <c r="Q199" s="677">
        <f>VLOOKUP(P199,Apoio!C:E,2,0)</f>
        <v>246040</v>
      </c>
      <c r="R199" s="641" t="s">
        <v>316</v>
      </c>
      <c r="S199" s="378">
        <v>5</v>
      </c>
    </row>
    <row r="200" spans="15:19" ht="13.5" thickBot="1" x14ac:dyDescent="0.25">
      <c r="O200" s="43">
        <v>185</v>
      </c>
      <c r="P200" s="640" t="s">
        <v>503</v>
      </c>
      <c r="Q200" s="677">
        <f>VLOOKUP(P200,Apoio!C:E,2,0)</f>
        <v>245940</v>
      </c>
      <c r="R200" s="641" t="s">
        <v>316</v>
      </c>
      <c r="S200" s="378">
        <v>5</v>
      </c>
    </row>
    <row r="201" spans="15:19" ht="13.5" thickBot="1" x14ac:dyDescent="0.25">
      <c r="O201" s="45">
        <v>186</v>
      </c>
      <c r="P201" s="640" t="s">
        <v>504</v>
      </c>
      <c r="Q201" s="677">
        <f>VLOOKUP(P201,Apoio!C:E,2,0)</f>
        <v>245940</v>
      </c>
      <c r="R201" s="641" t="s">
        <v>316</v>
      </c>
      <c r="S201" s="378">
        <v>5</v>
      </c>
    </row>
    <row r="202" spans="15:19" ht="13.5" thickBot="1" x14ac:dyDescent="0.25">
      <c r="O202" s="43">
        <v>187</v>
      </c>
      <c r="P202" s="640" t="s">
        <v>505</v>
      </c>
      <c r="Q202" s="677">
        <f>VLOOKUP(P202,Apoio!C:E,2,0)</f>
        <v>246030</v>
      </c>
      <c r="R202" s="641" t="s">
        <v>316</v>
      </c>
      <c r="S202" s="378">
        <v>5</v>
      </c>
    </row>
    <row r="203" spans="15:19" ht="13.5" thickBot="1" x14ac:dyDescent="0.25">
      <c r="O203" s="45">
        <v>188</v>
      </c>
      <c r="P203" s="640" t="s">
        <v>506</v>
      </c>
      <c r="Q203" s="677">
        <f>VLOOKUP(P203,Apoio!C:E,2,0)</f>
        <v>246040</v>
      </c>
      <c r="R203" s="641" t="s">
        <v>316</v>
      </c>
      <c r="S203" s="378">
        <v>5</v>
      </c>
    </row>
    <row r="204" spans="15:19" ht="13.5" thickBot="1" x14ac:dyDescent="0.25">
      <c r="O204" s="43">
        <v>189</v>
      </c>
      <c r="P204" s="640" t="s">
        <v>507</v>
      </c>
      <c r="Q204" s="677">
        <f>VLOOKUP(P204,Apoio!C:E,2,0)</f>
        <v>245940</v>
      </c>
      <c r="R204" s="641" t="s">
        <v>316</v>
      </c>
      <c r="S204" s="378">
        <v>5</v>
      </c>
    </row>
    <row r="205" spans="15:19" ht="13.5" thickBot="1" x14ac:dyDescent="0.25">
      <c r="O205" s="45">
        <v>190</v>
      </c>
      <c r="P205" s="640" t="s">
        <v>508</v>
      </c>
      <c r="Q205" s="677">
        <f>VLOOKUP(P205,Apoio!C:E,2,0)</f>
        <v>245940</v>
      </c>
      <c r="R205" s="641" t="s">
        <v>316</v>
      </c>
      <c r="S205" s="378">
        <v>5</v>
      </c>
    </row>
    <row r="206" spans="15:19" ht="13.5" thickBot="1" x14ac:dyDescent="0.25">
      <c r="O206" s="43">
        <v>191</v>
      </c>
      <c r="P206" s="640" t="s">
        <v>509</v>
      </c>
      <c r="Q206" s="677">
        <f>VLOOKUP(P206,Apoio!C:E,2,0)</f>
        <v>246040</v>
      </c>
      <c r="R206" s="641" t="s">
        <v>316</v>
      </c>
      <c r="S206" s="378">
        <v>5</v>
      </c>
    </row>
    <row r="207" spans="15:19" ht="13.5" thickBot="1" x14ac:dyDescent="0.25">
      <c r="O207" s="45">
        <v>192</v>
      </c>
      <c r="P207" s="640" t="s">
        <v>510</v>
      </c>
      <c r="Q207" s="677">
        <f>VLOOKUP(P207,Apoio!C:E,2,0)</f>
        <v>246040</v>
      </c>
      <c r="R207" s="641" t="s">
        <v>316</v>
      </c>
      <c r="S207" s="378">
        <v>5</v>
      </c>
    </row>
    <row r="208" spans="15:19" ht="13.5" thickBot="1" x14ac:dyDescent="0.25">
      <c r="O208" s="43">
        <v>193</v>
      </c>
      <c r="P208" s="640" t="s">
        <v>511</v>
      </c>
      <c r="Q208" s="677">
        <f>VLOOKUP(P208,Apoio!C:E,2,0)</f>
        <v>245940</v>
      </c>
      <c r="R208" s="641" t="s">
        <v>316</v>
      </c>
      <c r="S208" s="378">
        <v>5</v>
      </c>
    </row>
    <row r="209" spans="15:19" ht="13.5" thickBot="1" x14ac:dyDescent="0.25">
      <c r="O209" s="45">
        <v>194</v>
      </c>
      <c r="P209" s="640" t="s">
        <v>512</v>
      </c>
      <c r="Q209" s="677">
        <f>VLOOKUP(P209,Apoio!C:E,2,0)</f>
        <v>245940</v>
      </c>
      <c r="R209" s="641" t="s">
        <v>513</v>
      </c>
      <c r="S209" s="378">
        <v>5</v>
      </c>
    </row>
    <row r="210" spans="15:19" ht="13.5" thickBot="1" x14ac:dyDescent="0.25">
      <c r="O210" s="43">
        <v>195</v>
      </c>
      <c r="P210" s="640" t="s">
        <v>514</v>
      </c>
      <c r="Q210" s="677">
        <f>VLOOKUP(P210,Apoio!C:E,2,0)</f>
        <v>246040</v>
      </c>
      <c r="R210" s="641" t="s">
        <v>316</v>
      </c>
      <c r="S210" s="378">
        <v>5</v>
      </c>
    </row>
    <row r="211" spans="15:19" ht="13.5" thickBot="1" x14ac:dyDescent="0.25">
      <c r="O211" s="45">
        <v>196</v>
      </c>
      <c r="P211" s="640" t="s">
        <v>515</v>
      </c>
      <c r="Q211" s="677">
        <f>VLOOKUP(P211,Apoio!C:E,2,0)</f>
        <v>246040</v>
      </c>
      <c r="R211" s="641" t="s">
        <v>316</v>
      </c>
      <c r="S211" s="378">
        <v>5</v>
      </c>
    </row>
    <row r="212" spans="15:19" ht="13.5" thickBot="1" x14ac:dyDescent="0.25">
      <c r="O212" s="43">
        <v>197</v>
      </c>
      <c r="P212" s="640" t="s">
        <v>516</v>
      </c>
      <c r="Q212" s="677">
        <f>VLOOKUP(P212,Apoio!C:E,2,0)</f>
        <v>245940</v>
      </c>
      <c r="R212" s="641" t="s">
        <v>316</v>
      </c>
      <c r="S212" s="378">
        <v>5</v>
      </c>
    </row>
    <row r="213" spans="15:19" ht="13.5" thickBot="1" x14ac:dyDescent="0.25">
      <c r="O213" s="45">
        <v>198</v>
      </c>
      <c r="P213" s="640" t="s">
        <v>517</v>
      </c>
      <c r="Q213" s="677">
        <f>VLOOKUP(P213,Apoio!C:E,2,0)</f>
        <v>245940</v>
      </c>
      <c r="R213" s="641" t="s">
        <v>316</v>
      </c>
      <c r="S213" s="378">
        <v>5</v>
      </c>
    </row>
    <row r="214" spans="15:19" ht="13.5" thickBot="1" x14ac:dyDescent="0.25">
      <c r="O214" s="43">
        <v>199</v>
      </c>
      <c r="P214" s="640" t="s">
        <v>518</v>
      </c>
      <c r="Q214" s="677">
        <f>VLOOKUP(P214,Apoio!C:E,2,0)</f>
        <v>246040</v>
      </c>
      <c r="R214" s="641" t="s">
        <v>316</v>
      </c>
      <c r="S214" s="378">
        <v>5</v>
      </c>
    </row>
    <row r="215" spans="15:19" ht="13.5" thickBot="1" x14ac:dyDescent="0.25">
      <c r="O215" s="45">
        <v>200</v>
      </c>
      <c r="P215" s="640" t="s">
        <v>519</v>
      </c>
      <c r="Q215" s="677">
        <f>VLOOKUP(P215,Apoio!C:E,2,0)</f>
        <v>246040</v>
      </c>
      <c r="R215" s="641" t="s">
        <v>316</v>
      </c>
      <c r="S215" s="378">
        <v>5</v>
      </c>
    </row>
    <row r="216" spans="15:19" ht="13.5" thickBot="1" x14ac:dyDescent="0.25">
      <c r="O216" s="43">
        <v>201</v>
      </c>
      <c r="P216" s="640" t="s">
        <v>520</v>
      </c>
      <c r="Q216" s="677">
        <f>VLOOKUP(P216,Apoio!C:E,2,0)</f>
        <v>245940</v>
      </c>
      <c r="R216" s="641" t="s">
        <v>316</v>
      </c>
      <c r="S216" s="378">
        <v>5</v>
      </c>
    </row>
    <row r="217" spans="15:19" ht="13.5" thickBot="1" x14ac:dyDescent="0.25">
      <c r="O217" s="45">
        <v>202</v>
      </c>
      <c r="P217" s="640" t="s">
        <v>521</v>
      </c>
      <c r="Q217" s="677">
        <f>VLOOKUP(P217,Apoio!C:E,2,0)</f>
        <v>245940</v>
      </c>
      <c r="R217" s="641" t="s">
        <v>316</v>
      </c>
      <c r="S217" s="378">
        <v>5</v>
      </c>
    </row>
    <row r="218" spans="15:19" ht="13.5" thickBot="1" x14ac:dyDescent="0.25">
      <c r="O218" s="43">
        <v>203</v>
      </c>
      <c r="P218" s="640" t="s">
        <v>522</v>
      </c>
      <c r="Q218" s="677">
        <f>VLOOKUP(P218,Apoio!C:E,2,0)</f>
        <v>246040</v>
      </c>
      <c r="R218" s="641" t="s">
        <v>316</v>
      </c>
      <c r="S218" s="378">
        <v>5</v>
      </c>
    </row>
    <row r="219" spans="15:19" ht="13.5" thickBot="1" x14ac:dyDescent="0.25">
      <c r="O219" s="45">
        <v>204</v>
      </c>
      <c r="P219" s="640" t="s">
        <v>523</v>
      </c>
      <c r="Q219" s="677">
        <f>VLOOKUP(P219,Apoio!C:E,2,0)</f>
        <v>246040</v>
      </c>
      <c r="R219" s="641" t="s">
        <v>403</v>
      </c>
      <c r="S219" s="378">
        <v>5</v>
      </c>
    </row>
    <row r="220" spans="15:19" ht="13.5" thickBot="1" x14ac:dyDescent="0.25">
      <c r="O220" s="43">
        <v>205</v>
      </c>
      <c r="P220" s="640" t="s">
        <v>524</v>
      </c>
      <c r="Q220" s="677">
        <f>VLOOKUP(P220,Apoio!C:E,2,0)</f>
        <v>245940</v>
      </c>
      <c r="R220" s="641" t="s">
        <v>405</v>
      </c>
      <c r="S220" s="378">
        <v>5</v>
      </c>
    </row>
    <row r="221" spans="15:19" ht="13.5" thickBot="1" x14ac:dyDescent="0.25">
      <c r="O221" s="45">
        <v>206</v>
      </c>
      <c r="P221" s="640" t="s">
        <v>525</v>
      </c>
      <c r="Q221" s="677">
        <f>VLOOKUP(P221,Apoio!C:E,2,0)</f>
        <v>245940</v>
      </c>
      <c r="R221" s="641" t="s">
        <v>405</v>
      </c>
      <c r="S221" s="378">
        <v>5</v>
      </c>
    </row>
    <row r="222" spans="15:19" ht="13.5" thickBot="1" x14ac:dyDescent="0.25">
      <c r="O222" s="43">
        <v>207</v>
      </c>
      <c r="P222" s="640" t="s">
        <v>526</v>
      </c>
      <c r="Q222" s="677">
        <f>VLOOKUP(P222,Apoio!C:E,2,0)</f>
        <v>246040</v>
      </c>
      <c r="R222" s="641" t="s">
        <v>403</v>
      </c>
      <c r="S222" s="378">
        <v>5</v>
      </c>
    </row>
    <row r="223" spans="15:19" ht="13.5" thickBot="1" x14ac:dyDescent="0.25">
      <c r="O223" s="45">
        <v>208</v>
      </c>
      <c r="P223" s="640" t="s">
        <v>527</v>
      </c>
      <c r="Q223" s="677">
        <f>VLOOKUP(P223,Apoio!C:E,2,0)</f>
        <v>246040</v>
      </c>
      <c r="R223" s="641" t="s">
        <v>403</v>
      </c>
      <c r="S223" s="378">
        <v>5</v>
      </c>
    </row>
    <row r="224" spans="15:19" ht="13.5" thickBot="1" x14ac:dyDescent="0.25">
      <c r="O224" s="43">
        <v>209</v>
      </c>
      <c r="P224" s="640" t="s">
        <v>528</v>
      </c>
      <c r="Q224" s="677">
        <f>VLOOKUP(P224,Apoio!C:E,2,0)</f>
        <v>245940</v>
      </c>
      <c r="R224" s="641" t="s">
        <v>403</v>
      </c>
      <c r="S224" s="378">
        <v>5</v>
      </c>
    </row>
    <row r="225" spans="15:19" ht="13.5" thickBot="1" x14ac:dyDescent="0.25">
      <c r="O225" s="45">
        <v>210</v>
      </c>
      <c r="P225" s="640" t="s">
        <v>529</v>
      </c>
      <c r="Q225" s="677">
        <f>VLOOKUP(P225,Apoio!C:E,2,0)</f>
        <v>245940</v>
      </c>
      <c r="R225" s="641" t="s">
        <v>403</v>
      </c>
      <c r="S225" s="378">
        <v>5</v>
      </c>
    </row>
    <row r="226" spans="15:19" ht="13.5" thickBot="1" x14ac:dyDescent="0.25">
      <c r="O226" s="43">
        <v>211</v>
      </c>
      <c r="P226" s="640" t="s">
        <v>530</v>
      </c>
      <c r="Q226" s="677">
        <f>VLOOKUP(P226,Apoio!C:E,2,0)</f>
        <v>246040</v>
      </c>
      <c r="R226" s="641" t="s">
        <v>403</v>
      </c>
      <c r="S226" s="378">
        <v>5</v>
      </c>
    </row>
    <row r="227" spans="15:19" ht="13.5" thickBot="1" x14ac:dyDescent="0.25">
      <c r="O227" s="45">
        <v>212</v>
      </c>
      <c r="P227" s="640" t="s">
        <v>531</v>
      </c>
      <c r="Q227" s="677">
        <f>VLOOKUP(P227,Apoio!C:E,2,0)</f>
        <v>246040</v>
      </c>
      <c r="R227" s="641" t="s">
        <v>403</v>
      </c>
      <c r="S227" s="378">
        <v>5</v>
      </c>
    </row>
    <row r="228" spans="15:19" ht="13.5" thickBot="1" x14ac:dyDescent="0.25">
      <c r="O228" s="43">
        <v>213</v>
      </c>
      <c r="P228" s="640" t="s">
        <v>532</v>
      </c>
      <c r="Q228" s="677">
        <f>VLOOKUP(P228,Apoio!C:E,2,0)</f>
        <v>245940</v>
      </c>
      <c r="R228" s="641" t="s">
        <v>405</v>
      </c>
      <c r="S228" s="378">
        <v>5</v>
      </c>
    </row>
    <row r="229" spans="15:19" ht="13.5" thickBot="1" x14ac:dyDescent="0.25">
      <c r="O229" s="45">
        <v>214</v>
      </c>
      <c r="P229" s="640" t="s">
        <v>533</v>
      </c>
      <c r="Q229" s="677">
        <f>VLOOKUP(P229,Apoio!C:E,2,0)</f>
        <v>245940</v>
      </c>
      <c r="R229" s="641" t="s">
        <v>405</v>
      </c>
      <c r="S229" s="378">
        <v>5</v>
      </c>
    </row>
    <row r="230" spans="15:19" ht="13.5" thickBot="1" x14ac:dyDescent="0.25">
      <c r="O230" s="43">
        <v>215</v>
      </c>
      <c r="P230" s="640" t="s">
        <v>534</v>
      </c>
      <c r="Q230" s="677">
        <f>VLOOKUP(P230,Apoio!C:E,2,0)</f>
        <v>246040</v>
      </c>
      <c r="R230" s="641" t="s">
        <v>403</v>
      </c>
      <c r="S230" s="378">
        <v>5</v>
      </c>
    </row>
    <row r="231" spans="15:19" ht="13.5" thickBot="1" x14ac:dyDescent="0.25">
      <c r="O231" s="45">
        <v>216</v>
      </c>
      <c r="P231" s="640" t="s">
        <v>535</v>
      </c>
      <c r="Q231" s="677">
        <f>VLOOKUP(P231,Apoio!C:E,2,0)</f>
        <v>246040</v>
      </c>
      <c r="R231" s="641" t="s">
        <v>403</v>
      </c>
      <c r="S231" s="378">
        <v>5</v>
      </c>
    </row>
    <row r="232" spans="15:19" ht="13.5" thickBot="1" x14ac:dyDescent="0.25">
      <c r="O232" s="43">
        <v>217</v>
      </c>
      <c r="P232" s="640" t="s">
        <v>536</v>
      </c>
      <c r="Q232" s="677">
        <f>VLOOKUP(P232,Apoio!C:E,2,0)</f>
        <v>245940</v>
      </c>
      <c r="R232" s="641" t="s">
        <v>403</v>
      </c>
      <c r="S232" s="378">
        <v>5</v>
      </c>
    </row>
    <row r="233" spans="15:19" ht="13.5" thickBot="1" x14ac:dyDescent="0.25">
      <c r="O233" s="45">
        <v>218</v>
      </c>
      <c r="P233" s="640" t="s">
        <v>537</v>
      </c>
      <c r="Q233" s="677">
        <f>VLOOKUP(P233,Apoio!C:E,2,0)</f>
        <v>245940</v>
      </c>
      <c r="R233" s="641" t="s">
        <v>403</v>
      </c>
      <c r="S233" s="378">
        <v>5</v>
      </c>
    </row>
    <row r="234" spans="15:19" ht="13.5" thickBot="1" x14ac:dyDescent="0.25">
      <c r="O234" s="43">
        <v>219</v>
      </c>
      <c r="P234" s="640" t="s">
        <v>538</v>
      </c>
      <c r="Q234" s="677">
        <f>VLOOKUP(P234,Apoio!C:E,2,0)</f>
        <v>246040</v>
      </c>
      <c r="R234" s="641" t="s">
        <v>403</v>
      </c>
      <c r="S234" s="378">
        <v>5</v>
      </c>
    </row>
    <row r="235" spans="15:19" ht="13.5" thickBot="1" x14ac:dyDescent="0.25">
      <c r="O235" s="45">
        <v>220</v>
      </c>
      <c r="P235" s="640" t="s">
        <v>539</v>
      </c>
      <c r="Q235" s="677">
        <f>VLOOKUP(P235,Apoio!C:E,2,0)</f>
        <v>246040</v>
      </c>
      <c r="R235" s="641" t="s">
        <v>403</v>
      </c>
      <c r="S235" s="378">
        <v>5</v>
      </c>
    </row>
    <row r="236" spans="15:19" ht="13.5" thickBot="1" x14ac:dyDescent="0.25">
      <c r="O236" s="43">
        <v>221</v>
      </c>
      <c r="P236" s="640" t="s">
        <v>540</v>
      </c>
      <c r="Q236" s="677">
        <f>VLOOKUP(P236,Apoio!C:E,2,0)</f>
        <v>245940</v>
      </c>
      <c r="R236" s="641" t="s">
        <v>405</v>
      </c>
      <c r="S236" s="378">
        <v>5</v>
      </c>
    </row>
    <row r="237" spans="15:19" ht="13.5" thickBot="1" x14ac:dyDescent="0.25">
      <c r="O237" s="45">
        <v>222</v>
      </c>
      <c r="P237" s="640" t="s">
        <v>541</v>
      </c>
      <c r="Q237" s="677">
        <f>VLOOKUP(P237,Apoio!C:E,2,0)</f>
        <v>245940</v>
      </c>
      <c r="R237" s="641" t="s">
        <v>405</v>
      </c>
      <c r="S237" s="378">
        <v>5</v>
      </c>
    </row>
    <row r="238" spans="15:19" ht="13.5" thickBot="1" x14ac:dyDescent="0.25">
      <c r="O238" s="43">
        <v>223</v>
      </c>
      <c r="P238" s="640" t="s">
        <v>542</v>
      </c>
      <c r="Q238" s="677">
        <f>VLOOKUP(P238,Apoio!C:E,2,0)</f>
        <v>246030</v>
      </c>
      <c r="R238" s="641" t="s">
        <v>403</v>
      </c>
      <c r="S238" s="378">
        <v>5</v>
      </c>
    </row>
    <row r="239" spans="15:19" ht="13.5" thickBot="1" x14ac:dyDescent="0.25">
      <c r="O239" s="45">
        <v>224</v>
      </c>
      <c r="P239" s="640" t="s">
        <v>543</v>
      </c>
      <c r="Q239" s="677">
        <f>VLOOKUP(P239,Apoio!C:E,2,0)</f>
        <v>246030</v>
      </c>
      <c r="R239" s="641" t="s">
        <v>403</v>
      </c>
      <c r="S239" s="378">
        <v>5</v>
      </c>
    </row>
    <row r="240" spans="15:19" ht="13.5" thickBot="1" x14ac:dyDescent="0.25">
      <c r="O240" s="43">
        <v>225</v>
      </c>
      <c r="P240" s="640" t="s">
        <v>544</v>
      </c>
      <c r="Q240" s="677">
        <f>VLOOKUP(P240,Apoio!C:E,2,0)</f>
        <v>245940</v>
      </c>
      <c r="R240" s="641" t="s">
        <v>403</v>
      </c>
      <c r="S240" s="378">
        <v>5</v>
      </c>
    </row>
    <row r="241" spans="15:19" ht="13.5" thickBot="1" x14ac:dyDescent="0.25">
      <c r="O241" s="45">
        <v>226</v>
      </c>
      <c r="P241" s="640" t="s">
        <v>545</v>
      </c>
      <c r="Q241" s="677">
        <f>VLOOKUP(P241,Apoio!C:E,2,0)</f>
        <v>245940</v>
      </c>
      <c r="R241" s="641" t="s">
        <v>403</v>
      </c>
      <c r="S241" s="378">
        <v>5</v>
      </c>
    </row>
    <row r="242" spans="15:19" ht="13.5" thickBot="1" x14ac:dyDescent="0.25">
      <c r="O242" s="43">
        <v>227</v>
      </c>
      <c r="P242" s="640" t="s">
        <v>546</v>
      </c>
      <c r="Q242" s="677">
        <f>VLOOKUP(P242,Apoio!C:E,2,0)</f>
        <v>246040</v>
      </c>
      <c r="R242" s="641" t="s">
        <v>403</v>
      </c>
      <c r="S242" s="378">
        <v>5</v>
      </c>
    </row>
    <row r="243" spans="15:19" ht="13.5" thickBot="1" x14ac:dyDescent="0.25">
      <c r="O243" s="45">
        <v>228</v>
      </c>
      <c r="P243" s="640" t="s">
        <v>547</v>
      </c>
      <c r="Q243" s="677">
        <f>VLOOKUP(P243,Apoio!C:E,2,0)</f>
        <v>246040</v>
      </c>
      <c r="R243" s="641" t="s">
        <v>403</v>
      </c>
      <c r="S243" s="378">
        <v>5</v>
      </c>
    </row>
    <row r="244" spans="15:19" ht="13.5" thickBot="1" x14ac:dyDescent="0.25">
      <c r="O244" s="43">
        <v>229</v>
      </c>
      <c r="P244" s="640" t="s">
        <v>548</v>
      </c>
      <c r="Q244" s="677">
        <f>VLOOKUP(P244,Apoio!C:E,2,0)</f>
        <v>246010</v>
      </c>
      <c r="R244" s="641" t="s">
        <v>430</v>
      </c>
      <c r="S244" s="378">
        <v>5</v>
      </c>
    </row>
    <row r="245" spans="15:19" ht="13.5" thickBot="1" x14ac:dyDescent="0.25">
      <c r="O245" s="45">
        <v>230</v>
      </c>
      <c r="P245" s="640" t="s">
        <v>549</v>
      </c>
      <c r="Q245" s="677">
        <f>VLOOKUP(P245,Apoio!C:E,2,0)</f>
        <v>246010</v>
      </c>
      <c r="R245" s="641" t="s">
        <v>430</v>
      </c>
      <c r="S245" s="378">
        <v>5</v>
      </c>
    </row>
    <row r="246" spans="15:19" ht="13.5" thickBot="1" x14ac:dyDescent="0.25">
      <c r="O246" s="43">
        <v>231</v>
      </c>
      <c r="P246" s="640" t="s">
        <v>550</v>
      </c>
      <c r="Q246" s="677">
        <f>VLOOKUP(P246,Apoio!C:E,2,0)</f>
        <v>246030</v>
      </c>
      <c r="R246" s="641" t="s">
        <v>403</v>
      </c>
      <c r="S246" s="378">
        <v>5</v>
      </c>
    </row>
    <row r="247" spans="15:19" ht="13.5" thickBot="1" x14ac:dyDescent="0.25">
      <c r="O247" s="45">
        <v>232</v>
      </c>
      <c r="P247" s="640" t="s">
        <v>551</v>
      </c>
      <c r="Q247" s="677">
        <f>VLOOKUP(P247,Apoio!C:E,2,0)</f>
        <v>246030</v>
      </c>
      <c r="R247" s="641" t="s">
        <v>403</v>
      </c>
      <c r="S247" s="378">
        <v>5</v>
      </c>
    </row>
    <row r="248" spans="15:19" ht="13.5" thickBot="1" x14ac:dyDescent="0.25">
      <c r="O248" s="43">
        <v>233</v>
      </c>
      <c r="P248" s="640" t="s">
        <v>552</v>
      </c>
      <c r="Q248" s="677">
        <f>VLOOKUP(P248,Apoio!C:E,2,0)</f>
        <v>246010</v>
      </c>
      <c r="R248" s="641" t="s">
        <v>430</v>
      </c>
      <c r="S248" s="378">
        <v>5</v>
      </c>
    </row>
    <row r="249" spans="15:19" ht="13.5" thickBot="1" x14ac:dyDescent="0.25">
      <c r="O249" s="45">
        <v>234</v>
      </c>
      <c r="P249" s="640" t="s">
        <v>553</v>
      </c>
      <c r="Q249" s="677">
        <f>VLOOKUP(P249,Apoio!C:E,2,0)</f>
        <v>246010</v>
      </c>
      <c r="R249" s="641" t="s">
        <v>430</v>
      </c>
      <c r="S249" s="378">
        <v>5</v>
      </c>
    </row>
    <row r="250" spans="15:19" ht="13.5" thickBot="1" x14ac:dyDescent="0.25">
      <c r="O250" s="43">
        <v>235</v>
      </c>
      <c r="P250" s="640" t="s">
        <v>554</v>
      </c>
      <c r="Q250" s="677">
        <f>VLOOKUP(P250,Apoio!C:E,2,0)</f>
        <v>246040</v>
      </c>
      <c r="R250" s="641" t="s">
        <v>403</v>
      </c>
      <c r="S250" s="378">
        <v>5</v>
      </c>
    </row>
  </sheetData>
  <sheetProtection password="FC71" sheet="1" objects="1" scenarios="1"/>
  <mergeCells count="48">
    <mergeCell ref="CG3:CJ3"/>
    <mergeCell ref="BM6:BP6"/>
    <mergeCell ref="BW3:BZ3"/>
    <mergeCell ref="CB3:CE3"/>
    <mergeCell ref="O3:R3"/>
    <mergeCell ref="T3:W3"/>
    <mergeCell ref="Y3:AB3"/>
    <mergeCell ref="BR3:BU3"/>
    <mergeCell ref="AD3:AG3"/>
    <mergeCell ref="AI3:AL3"/>
    <mergeCell ref="AN3:AQ3"/>
    <mergeCell ref="BH3:BK3"/>
    <mergeCell ref="AS3:AV3"/>
    <mergeCell ref="AX3:BA3"/>
    <mergeCell ref="BC3:BF3"/>
    <mergeCell ref="BM3:BP3"/>
    <mergeCell ref="AX6:BA6"/>
    <mergeCell ref="BC6:BF6"/>
    <mergeCell ref="BH6:BK6"/>
    <mergeCell ref="CB6:CE6"/>
    <mergeCell ref="CG7:CJ7"/>
    <mergeCell ref="BM7:BP7"/>
    <mergeCell ref="CG6:CJ6"/>
    <mergeCell ref="BH7:BK7"/>
    <mergeCell ref="AX7:BA7"/>
    <mergeCell ref="BC7:BF7"/>
    <mergeCell ref="CB7:CE7"/>
    <mergeCell ref="BR7:BU7"/>
    <mergeCell ref="BW7:BZ7"/>
    <mergeCell ref="BW6:BZ6"/>
    <mergeCell ref="BR6:BU6"/>
    <mergeCell ref="AN6:AQ6"/>
    <mergeCell ref="AS6:AV6"/>
    <mergeCell ref="AI6:AL6"/>
    <mergeCell ref="AS7:AV7"/>
    <mergeCell ref="AI7:AL7"/>
    <mergeCell ref="AN7:AQ7"/>
    <mergeCell ref="A8:C9"/>
    <mergeCell ref="J8:J9"/>
    <mergeCell ref="K8:K9"/>
    <mergeCell ref="O7:R7"/>
    <mergeCell ref="AD6:AG6"/>
    <mergeCell ref="AD7:AG7"/>
    <mergeCell ref="O6:R6"/>
    <mergeCell ref="T6:W6"/>
    <mergeCell ref="T7:W7"/>
    <mergeCell ref="Y6:AB6"/>
    <mergeCell ref="Y7:AB7"/>
  </mergeCells>
  <phoneticPr fontId="2" type="noConversion"/>
  <dataValidations disablePrompts="1" count="1">
    <dataValidation type="list" allowBlank="1" showInputMessage="1" showErrorMessage="1" sqref="Y7 CG7 AS7 T7 AD7 AI7 AN7 AX7 BC7 BH7 BM7 BR7 BW7 CB7">
      <formula1>$D$33:$D$34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"/>
  <sheetViews>
    <sheetView workbookViewId="0">
      <selection activeCell="K42" sqref="K42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H242"/>
  <sheetViews>
    <sheetView workbookViewId="0">
      <selection activeCell="H8" sqref="H8"/>
    </sheetView>
  </sheetViews>
  <sheetFormatPr defaultRowHeight="12.75" x14ac:dyDescent="0.2"/>
  <cols>
    <col min="4" max="4" width="14.28515625" bestFit="1" customWidth="1"/>
    <col min="6" max="6" width="10.7109375" bestFit="1" customWidth="1"/>
    <col min="7" max="7" width="14.28515625" bestFit="1" customWidth="1"/>
  </cols>
  <sheetData>
    <row r="1" spans="1:8" ht="15" x14ac:dyDescent="0.25">
      <c r="B1" s="664" t="s">
        <v>559</v>
      </c>
      <c r="C1" s="664"/>
      <c r="D1" s="665" t="s">
        <v>560</v>
      </c>
    </row>
    <row r="2" spans="1:8" ht="15" x14ac:dyDescent="0.25">
      <c r="B2" s="666"/>
      <c r="C2" s="666"/>
      <c r="D2" s="667"/>
    </row>
    <row r="3" spans="1:8" ht="15" x14ac:dyDescent="0.25">
      <c r="A3" s="365" t="s">
        <v>563</v>
      </c>
      <c r="B3" s="672" t="s">
        <v>559</v>
      </c>
      <c r="C3" s="672" t="s">
        <v>562</v>
      </c>
      <c r="D3" s="668" t="s">
        <v>561</v>
      </c>
      <c r="H3" s="365" t="s">
        <v>570</v>
      </c>
    </row>
    <row r="4" spans="1:8" x14ac:dyDescent="0.2">
      <c r="A4">
        <v>1</v>
      </c>
      <c r="B4" s="669">
        <v>101</v>
      </c>
      <c r="C4" s="669" t="str">
        <f>A4&amp;"/"&amp;B4</f>
        <v>1/101</v>
      </c>
      <c r="D4" s="676">
        <v>208700</v>
      </c>
      <c r="G4" s="365" t="s">
        <v>209</v>
      </c>
      <c r="H4">
        <v>0</v>
      </c>
    </row>
    <row r="5" spans="1:8" x14ac:dyDescent="0.2">
      <c r="A5">
        <v>1</v>
      </c>
      <c r="B5" s="669">
        <v>102</v>
      </c>
      <c r="C5" s="669" t="str">
        <f t="shared" ref="C5:C68" si="0">A5&amp;"/"&amp;B5</f>
        <v>1/102</v>
      </c>
      <c r="D5" s="676">
        <v>205000</v>
      </c>
      <c r="F5" s="673"/>
      <c r="G5" s="684" t="s">
        <v>210</v>
      </c>
      <c r="H5">
        <v>1</v>
      </c>
    </row>
    <row r="6" spans="1:8" x14ac:dyDescent="0.2">
      <c r="A6">
        <v>1</v>
      </c>
      <c r="B6" s="669">
        <v>103</v>
      </c>
      <c r="C6" s="669" t="str">
        <f t="shared" si="0"/>
        <v>1/103</v>
      </c>
      <c r="D6" s="676">
        <v>200600</v>
      </c>
      <c r="H6">
        <v>2</v>
      </c>
    </row>
    <row r="7" spans="1:8" x14ac:dyDescent="0.2">
      <c r="A7">
        <v>1</v>
      </c>
      <c r="B7" s="670">
        <v>104</v>
      </c>
      <c r="C7" s="669" t="str">
        <f t="shared" si="0"/>
        <v>1/104</v>
      </c>
      <c r="D7" s="676">
        <v>204200</v>
      </c>
      <c r="H7">
        <v>3</v>
      </c>
    </row>
    <row r="8" spans="1:8" x14ac:dyDescent="0.2">
      <c r="A8">
        <v>1</v>
      </c>
      <c r="B8" s="669">
        <v>105</v>
      </c>
      <c r="C8" s="669" t="str">
        <f t="shared" si="0"/>
        <v>1/105</v>
      </c>
      <c r="D8" s="676">
        <v>204200</v>
      </c>
    </row>
    <row r="9" spans="1:8" x14ac:dyDescent="0.2">
      <c r="A9">
        <v>1</v>
      </c>
      <c r="B9" s="669">
        <v>106</v>
      </c>
      <c r="C9" s="669" t="str">
        <f t="shared" si="0"/>
        <v>1/106</v>
      </c>
      <c r="D9" s="676">
        <v>200600</v>
      </c>
    </row>
    <row r="10" spans="1:8" x14ac:dyDescent="0.2">
      <c r="A10">
        <v>1</v>
      </c>
      <c r="B10" s="671">
        <v>201</v>
      </c>
      <c r="C10" s="669" t="str">
        <f t="shared" si="0"/>
        <v>1/201</v>
      </c>
      <c r="D10" s="676">
        <v>215500</v>
      </c>
    </row>
    <row r="11" spans="1:8" x14ac:dyDescent="0.2">
      <c r="A11">
        <v>1</v>
      </c>
      <c r="B11" s="671">
        <v>202</v>
      </c>
      <c r="C11" s="669" t="str">
        <f t="shared" si="0"/>
        <v>1/202</v>
      </c>
      <c r="D11" s="676">
        <v>211600</v>
      </c>
    </row>
    <row r="12" spans="1:8" x14ac:dyDescent="0.2">
      <c r="A12">
        <v>1</v>
      </c>
      <c r="B12" s="671">
        <v>203</v>
      </c>
      <c r="C12" s="669" t="str">
        <f t="shared" si="0"/>
        <v>1/203</v>
      </c>
      <c r="D12" s="676">
        <v>207100</v>
      </c>
    </row>
    <row r="13" spans="1:8" x14ac:dyDescent="0.2">
      <c r="A13">
        <v>1</v>
      </c>
      <c r="B13" s="671">
        <v>204</v>
      </c>
      <c r="C13" s="669" t="str">
        <f t="shared" si="0"/>
        <v>1/204</v>
      </c>
      <c r="D13" s="676">
        <v>210800</v>
      </c>
    </row>
    <row r="14" spans="1:8" x14ac:dyDescent="0.2">
      <c r="A14">
        <v>1</v>
      </c>
      <c r="B14" s="671">
        <v>205</v>
      </c>
      <c r="C14" s="669" t="str">
        <f t="shared" si="0"/>
        <v>1/205</v>
      </c>
      <c r="D14" s="676">
        <v>210800</v>
      </c>
    </row>
    <row r="15" spans="1:8" x14ac:dyDescent="0.2">
      <c r="A15">
        <v>1</v>
      </c>
      <c r="B15" s="671">
        <v>206</v>
      </c>
      <c r="C15" s="669" t="str">
        <f t="shared" si="0"/>
        <v>1/206</v>
      </c>
      <c r="D15" s="676">
        <v>207100</v>
      </c>
    </row>
    <row r="16" spans="1:8" x14ac:dyDescent="0.2">
      <c r="A16">
        <v>1</v>
      </c>
      <c r="B16" s="671">
        <v>207</v>
      </c>
      <c r="C16" s="669" t="str">
        <f t="shared" si="0"/>
        <v>1/207</v>
      </c>
      <c r="D16" s="676">
        <v>211600</v>
      </c>
    </row>
    <row r="17" spans="1:4" x14ac:dyDescent="0.2">
      <c r="A17">
        <v>1</v>
      </c>
      <c r="B17" s="671">
        <v>208</v>
      </c>
      <c r="C17" s="669" t="str">
        <f t="shared" si="0"/>
        <v>1/208</v>
      </c>
      <c r="D17" s="676">
        <v>215500</v>
      </c>
    </row>
    <row r="18" spans="1:4" x14ac:dyDescent="0.2">
      <c r="A18">
        <v>1</v>
      </c>
      <c r="B18" s="671">
        <v>301</v>
      </c>
      <c r="C18" s="669" t="str">
        <f t="shared" si="0"/>
        <v>1/301</v>
      </c>
      <c r="D18" s="676">
        <v>215500</v>
      </c>
    </row>
    <row r="19" spans="1:4" x14ac:dyDescent="0.2">
      <c r="A19">
        <v>1</v>
      </c>
      <c r="B19" s="671">
        <v>302</v>
      </c>
      <c r="C19" s="669" t="str">
        <f t="shared" si="0"/>
        <v>1/302</v>
      </c>
      <c r="D19" s="676">
        <v>211600</v>
      </c>
    </row>
    <row r="20" spans="1:4" x14ac:dyDescent="0.2">
      <c r="A20">
        <v>1</v>
      </c>
      <c r="B20" s="671">
        <v>303</v>
      </c>
      <c r="C20" s="669" t="str">
        <f t="shared" si="0"/>
        <v>1/303</v>
      </c>
      <c r="D20" s="676">
        <v>207100</v>
      </c>
    </row>
    <row r="21" spans="1:4" x14ac:dyDescent="0.2">
      <c r="A21">
        <v>1</v>
      </c>
      <c r="B21" s="670">
        <v>304</v>
      </c>
      <c r="C21" s="669" t="str">
        <f t="shared" si="0"/>
        <v>1/304</v>
      </c>
      <c r="D21" s="676">
        <v>210800</v>
      </c>
    </row>
    <row r="22" spans="1:4" x14ac:dyDescent="0.2">
      <c r="A22">
        <v>1</v>
      </c>
      <c r="B22" s="671">
        <v>305</v>
      </c>
      <c r="C22" s="669" t="str">
        <f t="shared" si="0"/>
        <v>1/305</v>
      </c>
      <c r="D22" s="676">
        <v>210800</v>
      </c>
    </row>
    <row r="23" spans="1:4" x14ac:dyDescent="0.2">
      <c r="A23">
        <v>1</v>
      </c>
      <c r="B23" s="671">
        <v>306</v>
      </c>
      <c r="C23" s="669" t="str">
        <f t="shared" si="0"/>
        <v>1/306</v>
      </c>
      <c r="D23" s="676">
        <v>207100</v>
      </c>
    </row>
    <row r="24" spans="1:4" x14ac:dyDescent="0.2">
      <c r="A24">
        <v>1</v>
      </c>
      <c r="B24" s="671">
        <v>307</v>
      </c>
      <c r="C24" s="669" t="str">
        <f t="shared" si="0"/>
        <v>1/307</v>
      </c>
      <c r="D24" s="676">
        <v>211600</v>
      </c>
    </row>
    <row r="25" spans="1:4" x14ac:dyDescent="0.2">
      <c r="A25">
        <v>1</v>
      </c>
      <c r="B25" s="671">
        <v>308</v>
      </c>
      <c r="C25" s="669" t="str">
        <f t="shared" si="0"/>
        <v>1/308</v>
      </c>
      <c r="D25" s="676">
        <v>215500</v>
      </c>
    </row>
    <row r="26" spans="1:4" x14ac:dyDescent="0.2">
      <c r="A26">
        <v>1</v>
      </c>
      <c r="B26" s="671">
        <v>401</v>
      </c>
      <c r="C26" s="669" t="str">
        <f t="shared" si="0"/>
        <v>1/401</v>
      </c>
      <c r="D26" s="676">
        <v>233000</v>
      </c>
    </row>
    <row r="27" spans="1:4" x14ac:dyDescent="0.2">
      <c r="A27">
        <v>1</v>
      </c>
      <c r="B27" s="671">
        <v>402</v>
      </c>
      <c r="C27" s="669" t="str">
        <f t="shared" si="0"/>
        <v>1/402</v>
      </c>
      <c r="D27" s="676">
        <v>229100</v>
      </c>
    </row>
    <row r="28" spans="1:4" x14ac:dyDescent="0.2">
      <c r="A28">
        <v>1</v>
      </c>
      <c r="B28" s="671">
        <v>403</v>
      </c>
      <c r="C28" s="669" t="str">
        <f t="shared" si="0"/>
        <v>1/403</v>
      </c>
      <c r="D28" s="676">
        <v>207100</v>
      </c>
    </row>
    <row r="29" spans="1:4" x14ac:dyDescent="0.2">
      <c r="A29">
        <v>1</v>
      </c>
      <c r="B29" s="671">
        <v>404</v>
      </c>
      <c r="C29" s="669" t="str">
        <f t="shared" si="0"/>
        <v>1/404</v>
      </c>
      <c r="D29" s="676">
        <v>210800</v>
      </c>
    </row>
    <row r="30" spans="1:4" x14ac:dyDescent="0.2">
      <c r="A30">
        <v>1</v>
      </c>
      <c r="B30" s="671">
        <v>405</v>
      </c>
      <c r="C30" s="669" t="str">
        <f t="shared" si="0"/>
        <v>1/405</v>
      </c>
      <c r="D30" s="676">
        <v>210800</v>
      </c>
    </row>
    <row r="31" spans="1:4" x14ac:dyDescent="0.2">
      <c r="A31">
        <v>1</v>
      </c>
      <c r="B31" s="671">
        <v>406</v>
      </c>
      <c r="C31" s="669" t="str">
        <f t="shared" si="0"/>
        <v>1/406</v>
      </c>
      <c r="D31" s="676">
        <v>207100</v>
      </c>
    </row>
    <row r="32" spans="1:4" x14ac:dyDescent="0.2">
      <c r="A32">
        <v>1</v>
      </c>
      <c r="B32" s="671">
        <v>407</v>
      </c>
      <c r="C32" s="669" t="str">
        <f t="shared" si="0"/>
        <v>1/407</v>
      </c>
      <c r="D32" s="676">
        <v>229100</v>
      </c>
    </row>
    <row r="33" spans="1:4" x14ac:dyDescent="0.2">
      <c r="A33">
        <v>1</v>
      </c>
      <c r="B33" s="671">
        <v>408</v>
      </c>
      <c r="C33" s="669" t="str">
        <f t="shared" si="0"/>
        <v>1/408</v>
      </c>
      <c r="D33" s="676">
        <v>233000</v>
      </c>
    </row>
    <row r="34" spans="1:4" x14ac:dyDescent="0.2">
      <c r="A34">
        <v>1</v>
      </c>
      <c r="B34" s="670">
        <v>501</v>
      </c>
      <c r="C34" s="669" t="str">
        <f t="shared" si="0"/>
        <v>1/501</v>
      </c>
      <c r="D34" s="676">
        <v>233000</v>
      </c>
    </row>
    <row r="35" spans="1:4" x14ac:dyDescent="0.2">
      <c r="A35">
        <v>1</v>
      </c>
      <c r="B35" s="671">
        <v>502</v>
      </c>
      <c r="C35" s="669" t="str">
        <f t="shared" si="0"/>
        <v>1/502</v>
      </c>
      <c r="D35" s="676">
        <v>229100</v>
      </c>
    </row>
    <row r="36" spans="1:4" x14ac:dyDescent="0.2">
      <c r="A36">
        <v>1</v>
      </c>
      <c r="B36" s="671">
        <v>503</v>
      </c>
      <c r="C36" s="669" t="str">
        <f t="shared" si="0"/>
        <v>1/503</v>
      </c>
      <c r="D36" s="676">
        <v>224600</v>
      </c>
    </row>
    <row r="37" spans="1:4" x14ac:dyDescent="0.2">
      <c r="A37">
        <v>1</v>
      </c>
      <c r="B37" s="671">
        <v>504</v>
      </c>
      <c r="C37" s="669" t="str">
        <f t="shared" si="0"/>
        <v>1/504</v>
      </c>
      <c r="D37" s="676">
        <v>228300</v>
      </c>
    </row>
    <row r="38" spans="1:4" x14ac:dyDescent="0.2">
      <c r="A38">
        <v>1</v>
      </c>
      <c r="B38" s="671">
        <v>505</v>
      </c>
      <c r="C38" s="669" t="str">
        <f t="shared" si="0"/>
        <v>1/505</v>
      </c>
      <c r="D38" s="676">
        <v>228300</v>
      </c>
    </row>
    <row r="39" spans="1:4" x14ac:dyDescent="0.2">
      <c r="A39">
        <v>1</v>
      </c>
      <c r="B39" s="671">
        <v>506</v>
      </c>
      <c r="C39" s="669" t="str">
        <f t="shared" si="0"/>
        <v>1/506</v>
      </c>
      <c r="D39" s="676">
        <v>224600</v>
      </c>
    </row>
    <row r="40" spans="1:4" x14ac:dyDescent="0.2">
      <c r="A40">
        <v>1</v>
      </c>
      <c r="B40" s="671">
        <v>507</v>
      </c>
      <c r="C40" s="669" t="str">
        <f t="shared" si="0"/>
        <v>1/507</v>
      </c>
      <c r="D40" s="676">
        <v>229100</v>
      </c>
    </row>
    <row r="41" spans="1:4" x14ac:dyDescent="0.2">
      <c r="A41">
        <v>1</v>
      </c>
      <c r="B41" s="671">
        <v>508</v>
      </c>
      <c r="C41" s="669" t="str">
        <f t="shared" si="0"/>
        <v>1/508</v>
      </c>
      <c r="D41" s="676">
        <v>233000</v>
      </c>
    </row>
    <row r="42" spans="1:4" x14ac:dyDescent="0.2">
      <c r="A42">
        <v>1</v>
      </c>
      <c r="B42" s="671">
        <v>601</v>
      </c>
      <c r="C42" s="669" t="str">
        <f t="shared" si="0"/>
        <v>1/601</v>
      </c>
      <c r="D42" s="676">
        <v>235400</v>
      </c>
    </row>
    <row r="43" spans="1:4" x14ac:dyDescent="0.2">
      <c r="A43">
        <v>1</v>
      </c>
      <c r="B43" s="671">
        <v>602</v>
      </c>
      <c r="C43" s="669" t="str">
        <f t="shared" si="0"/>
        <v>1/602</v>
      </c>
      <c r="D43" s="676">
        <v>231500</v>
      </c>
    </row>
    <row r="44" spans="1:4" x14ac:dyDescent="0.2">
      <c r="A44">
        <v>1</v>
      </c>
      <c r="B44" s="671">
        <v>601</v>
      </c>
      <c r="C44" s="669" t="str">
        <f t="shared" si="0"/>
        <v>1/601</v>
      </c>
      <c r="D44" s="676">
        <v>235400</v>
      </c>
    </row>
    <row r="45" spans="1:4" x14ac:dyDescent="0.2">
      <c r="A45">
        <v>1</v>
      </c>
      <c r="B45" s="671">
        <v>602</v>
      </c>
      <c r="C45" s="669" t="str">
        <f t="shared" si="0"/>
        <v>1/602</v>
      </c>
      <c r="D45" s="676">
        <v>231500</v>
      </c>
    </row>
    <row r="46" spans="1:4" x14ac:dyDescent="0.2">
      <c r="A46">
        <v>1</v>
      </c>
      <c r="B46" s="671">
        <v>603</v>
      </c>
      <c r="C46" s="669" t="str">
        <f t="shared" si="0"/>
        <v>1/603</v>
      </c>
      <c r="D46" s="676">
        <v>226900</v>
      </c>
    </row>
    <row r="47" spans="1:4" x14ac:dyDescent="0.2">
      <c r="A47">
        <v>1</v>
      </c>
      <c r="B47" s="671">
        <v>604</v>
      </c>
      <c r="C47" s="669" t="str">
        <f t="shared" si="0"/>
        <v>1/604</v>
      </c>
      <c r="D47" s="676">
        <v>230700</v>
      </c>
    </row>
    <row r="48" spans="1:4" x14ac:dyDescent="0.2">
      <c r="A48">
        <v>1</v>
      </c>
      <c r="B48" s="671">
        <v>605</v>
      </c>
      <c r="C48" s="669" t="str">
        <f t="shared" si="0"/>
        <v>1/605</v>
      </c>
      <c r="D48" s="676">
        <v>230700</v>
      </c>
    </row>
    <row r="49" spans="1:4" x14ac:dyDescent="0.2">
      <c r="A49">
        <v>1</v>
      </c>
      <c r="B49" s="671">
        <v>606</v>
      </c>
      <c r="C49" s="669" t="str">
        <f t="shared" si="0"/>
        <v>1/606</v>
      </c>
      <c r="D49" s="676">
        <v>226900</v>
      </c>
    </row>
    <row r="50" spans="1:4" x14ac:dyDescent="0.2">
      <c r="A50">
        <v>1</v>
      </c>
      <c r="B50" s="671">
        <v>607</v>
      </c>
      <c r="C50" s="669" t="str">
        <f t="shared" si="0"/>
        <v>1/607</v>
      </c>
      <c r="D50" s="676">
        <v>231500</v>
      </c>
    </row>
    <row r="51" spans="1:4" x14ac:dyDescent="0.2">
      <c r="A51">
        <v>1</v>
      </c>
      <c r="B51" s="671">
        <v>608</v>
      </c>
      <c r="C51" s="669" t="str">
        <f t="shared" si="0"/>
        <v>1/608</v>
      </c>
      <c r="D51" s="676">
        <v>235400</v>
      </c>
    </row>
    <row r="52" spans="1:4" x14ac:dyDescent="0.2">
      <c r="A52">
        <v>1</v>
      </c>
      <c r="B52" s="671">
        <v>701</v>
      </c>
      <c r="C52" s="669" t="str">
        <f t="shared" si="0"/>
        <v>1/701</v>
      </c>
      <c r="D52" s="676">
        <v>235400</v>
      </c>
    </row>
    <row r="53" spans="1:4" x14ac:dyDescent="0.2">
      <c r="A53">
        <v>1</v>
      </c>
      <c r="B53" s="671">
        <v>702</v>
      </c>
      <c r="C53" s="669" t="str">
        <f t="shared" si="0"/>
        <v>1/702</v>
      </c>
      <c r="D53" s="676">
        <v>231500</v>
      </c>
    </row>
    <row r="54" spans="1:4" x14ac:dyDescent="0.2">
      <c r="A54">
        <v>1</v>
      </c>
      <c r="B54" s="671">
        <v>703</v>
      </c>
      <c r="C54" s="669" t="str">
        <f t="shared" si="0"/>
        <v>1/703</v>
      </c>
      <c r="D54" s="676">
        <v>226900</v>
      </c>
    </row>
    <row r="55" spans="1:4" x14ac:dyDescent="0.2">
      <c r="A55">
        <v>1</v>
      </c>
      <c r="B55" s="671">
        <v>704</v>
      </c>
      <c r="C55" s="669" t="str">
        <f t="shared" si="0"/>
        <v>1/704</v>
      </c>
      <c r="D55" s="676">
        <v>230700</v>
      </c>
    </row>
    <row r="56" spans="1:4" x14ac:dyDescent="0.2">
      <c r="A56">
        <v>1</v>
      </c>
      <c r="B56" s="671">
        <v>705</v>
      </c>
      <c r="C56" s="669" t="str">
        <f t="shared" si="0"/>
        <v>1/705</v>
      </c>
      <c r="D56" s="676">
        <v>230700</v>
      </c>
    </row>
    <row r="57" spans="1:4" x14ac:dyDescent="0.2">
      <c r="A57">
        <v>1</v>
      </c>
      <c r="B57" s="671">
        <v>706</v>
      </c>
      <c r="C57" s="669" t="str">
        <f t="shared" si="0"/>
        <v>1/706</v>
      </c>
      <c r="D57" s="676">
        <v>226900</v>
      </c>
    </row>
    <row r="58" spans="1:4" x14ac:dyDescent="0.2">
      <c r="A58">
        <v>1</v>
      </c>
      <c r="B58" s="671">
        <v>707</v>
      </c>
      <c r="C58" s="669" t="str">
        <f t="shared" si="0"/>
        <v>1/707</v>
      </c>
      <c r="D58" s="676">
        <v>231500</v>
      </c>
    </row>
    <row r="59" spans="1:4" x14ac:dyDescent="0.2">
      <c r="A59">
        <v>1</v>
      </c>
      <c r="B59" s="671">
        <v>708</v>
      </c>
      <c r="C59" s="669" t="str">
        <f t="shared" si="0"/>
        <v>1/708</v>
      </c>
      <c r="D59" s="676">
        <v>235400</v>
      </c>
    </row>
    <row r="60" spans="1:4" x14ac:dyDescent="0.2">
      <c r="A60">
        <v>1</v>
      </c>
      <c r="B60" s="671">
        <v>801</v>
      </c>
      <c r="C60" s="669" t="str">
        <f t="shared" si="0"/>
        <v>1/801</v>
      </c>
      <c r="D60" s="676">
        <v>235400</v>
      </c>
    </row>
    <row r="61" spans="1:4" x14ac:dyDescent="0.2">
      <c r="A61">
        <v>1</v>
      </c>
      <c r="B61" s="671">
        <v>802</v>
      </c>
      <c r="C61" s="669" t="str">
        <f t="shared" si="0"/>
        <v>1/802</v>
      </c>
      <c r="D61" s="676">
        <v>231500</v>
      </c>
    </row>
    <row r="62" spans="1:4" x14ac:dyDescent="0.2">
      <c r="A62">
        <v>1</v>
      </c>
      <c r="B62" s="671">
        <v>803</v>
      </c>
      <c r="C62" s="669" t="str">
        <f t="shared" si="0"/>
        <v>1/803</v>
      </c>
      <c r="D62" s="676">
        <v>226900</v>
      </c>
    </row>
    <row r="63" spans="1:4" x14ac:dyDescent="0.2">
      <c r="A63">
        <v>1</v>
      </c>
      <c r="B63" s="671">
        <v>804</v>
      </c>
      <c r="C63" s="669" t="str">
        <f t="shared" si="0"/>
        <v>1/804</v>
      </c>
      <c r="D63" s="676">
        <v>230700</v>
      </c>
    </row>
    <row r="64" spans="1:4" x14ac:dyDescent="0.2">
      <c r="A64">
        <v>1</v>
      </c>
      <c r="B64" s="671">
        <v>805</v>
      </c>
      <c r="C64" s="669" t="str">
        <f t="shared" si="0"/>
        <v>1/805</v>
      </c>
      <c r="D64" s="676">
        <v>230700</v>
      </c>
    </row>
    <row r="65" spans="1:4" x14ac:dyDescent="0.2">
      <c r="A65">
        <v>1</v>
      </c>
      <c r="B65" s="671">
        <v>806</v>
      </c>
      <c r="C65" s="669" t="str">
        <f t="shared" si="0"/>
        <v>1/806</v>
      </c>
      <c r="D65" s="676">
        <v>226900</v>
      </c>
    </row>
    <row r="66" spans="1:4" x14ac:dyDescent="0.2">
      <c r="A66">
        <v>1</v>
      </c>
      <c r="B66" s="671">
        <v>807</v>
      </c>
      <c r="C66" s="669" t="str">
        <f t="shared" si="0"/>
        <v>1/807</v>
      </c>
      <c r="D66" s="676">
        <v>231500</v>
      </c>
    </row>
    <row r="67" spans="1:4" x14ac:dyDescent="0.2">
      <c r="A67">
        <v>1</v>
      </c>
      <c r="B67" s="671">
        <v>808</v>
      </c>
      <c r="C67" s="669" t="str">
        <f t="shared" si="0"/>
        <v>1/808</v>
      </c>
      <c r="D67" s="676">
        <v>235400</v>
      </c>
    </row>
    <row r="68" spans="1:4" x14ac:dyDescent="0.2">
      <c r="A68">
        <v>1</v>
      </c>
      <c r="B68" s="671">
        <v>901</v>
      </c>
      <c r="C68" s="669" t="str">
        <f t="shared" si="0"/>
        <v>1/901</v>
      </c>
      <c r="D68" s="676">
        <v>235400</v>
      </c>
    </row>
    <row r="69" spans="1:4" x14ac:dyDescent="0.2">
      <c r="A69">
        <v>1</v>
      </c>
      <c r="B69" s="671">
        <v>902</v>
      </c>
      <c r="C69" s="669" t="str">
        <f t="shared" ref="C69:C128" si="1">A69&amp;"/"&amp;B69</f>
        <v>1/902</v>
      </c>
      <c r="D69" s="676">
        <v>231500</v>
      </c>
    </row>
    <row r="70" spans="1:4" x14ac:dyDescent="0.2">
      <c r="A70">
        <v>1</v>
      </c>
      <c r="B70" s="671">
        <v>903</v>
      </c>
      <c r="C70" s="669" t="str">
        <f t="shared" si="1"/>
        <v>1/903</v>
      </c>
      <c r="D70" s="676">
        <v>226900</v>
      </c>
    </row>
    <row r="71" spans="1:4" x14ac:dyDescent="0.2">
      <c r="A71">
        <v>1</v>
      </c>
      <c r="B71" s="671">
        <v>904</v>
      </c>
      <c r="C71" s="669" t="str">
        <f t="shared" si="1"/>
        <v>1/904</v>
      </c>
      <c r="D71" s="676">
        <v>230700</v>
      </c>
    </row>
    <row r="72" spans="1:4" x14ac:dyDescent="0.2">
      <c r="A72">
        <v>1</v>
      </c>
      <c r="B72" s="671">
        <v>905</v>
      </c>
      <c r="C72" s="669" t="str">
        <f t="shared" si="1"/>
        <v>1/905</v>
      </c>
      <c r="D72" s="676">
        <v>230700</v>
      </c>
    </row>
    <row r="73" spans="1:4" x14ac:dyDescent="0.2">
      <c r="A73">
        <v>1</v>
      </c>
      <c r="B73" s="671">
        <v>906</v>
      </c>
      <c r="C73" s="669" t="str">
        <f t="shared" si="1"/>
        <v>1/906</v>
      </c>
      <c r="D73" s="676">
        <v>226900</v>
      </c>
    </row>
    <row r="74" spans="1:4" x14ac:dyDescent="0.2">
      <c r="A74">
        <v>1</v>
      </c>
      <c r="B74" s="671">
        <v>907</v>
      </c>
      <c r="C74" s="669" t="str">
        <f t="shared" si="1"/>
        <v>1/907</v>
      </c>
      <c r="D74" s="676">
        <v>231500</v>
      </c>
    </row>
    <row r="75" spans="1:4" x14ac:dyDescent="0.2">
      <c r="A75">
        <v>1</v>
      </c>
      <c r="B75" s="671">
        <v>908</v>
      </c>
      <c r="C75" s="669" t="str">
        <f t="shared" si="1"/>
        <v>1/908</v>
      </c>
      <c r="D75" s="676">
        <v>235400</v>
      </c>
    </row>
    <row r="76" spans="1:4" x14ac:dyDescent="0.2">
      <c r="A76">
        <v>1</v>
      </c>
      <c r="B76" s="671">
        <v>1001</v>
      </c>
      <c r="C76" s="669" t="str">
        <f t="shared" si="1"/>
        <v>1/1001</v>
      </c>
      <c r="D76" s="676">
        <v>237800</v>
      </c>
    </row>
    <row r="77" spans="1:4" x14ac:dyDescent="0.2">
      <c r="A77">
        <v>1</v>
      </c>
      <c r="B77" s="671">
        <v>1002</v>
      </c>
      <c r="C77" s="669" t="str">
        <f t="shared" si="1"/>
        <v>1/1002</v>
      </c>
      <c r="D77" s="676">
        <v>233800</v>
      </c>
    </row>
    <row r="78" spans="1:4" x14ac:dyDescent="0.2">
      <c r="A78">
        <v>1</v>
      </c>
      <c r="B78" s="671">
        <v>1003</v>
      </c>
      <c r="C78" s="669" t="str">
        <f t="shared" si="1"/>
        <v>1/1003</v>
      </c>
      <c r="D78" s="676">
        <v>229200</v>
      </c>
    </row>
    <row r="79" spans="1:4" x14ac:dyDescent="0.2">
      <c r="A79">
        <v>1</v>
      </c>
      <c r="B79" s="671">
        <v>1004</v>
      </c>
      <c r="C79" s="669" t="str">
        <f t="shared" si="1"/>
        <v>1/1004</v>
      </c>
      <c r="D79" s="676">
        <v>233000</v>
      </c>
    </row>
    <row r="80" spans="1:4" x14ac:dyDescent="0.2">
      <c r="A80">
        <v>1</v>
      </c>
      <c r="B80" s="671">
        <v>1005</v>
      </c>
      <c r="C80" s="669" t="str">
        <f t="shared" si="1"/>
        <v>1/1005</v>
      </c>
      <c r="D80" s="676">
        <v>233000</v>
      </c>
    </row>
    <row r="81" spans="1:4" x14ac:dyDescent="0.2">
      <c r="A81">
        <v>1</v>
      </c>
      <c r="B81" s="671">
        <v>1006</v>
      </c>
      <c r="C81" s="669" t="str">
        <f t="shared" si="1"/>
        <v>1/1006</v>
      </c>
      <c r="D81" s="676">
        <v>229200</v>
      </c>
    </row>
    <row r="82" spans="1:4" x14ac:dyDescent="0.2">
      <c r="A82">
        <v>1</v>
      </c>
      <c r="B82" s="671">
        <v>1007</v>
      </c>
      <c r="C82" s="669" t="str">
        <f t="shared" si="1"/>
        <v>1/1007</v>
      </c>
      <c r="D82" s="676">
        <v>233800</v>
      </c>
    </row>
    <row r="83" spans="1:4" x14ac:dyDescent="0.2">
      <c r="A83">
        <v>1</v>
      </c>
      <c r="B83" s="671">
        <v>1008</v>
      </c>
      <c r="C83" s="669" t="str">
        <f t="shared" si="1"/>
        <v>1/1008</v>
      </c>
      <c r="D83" s="676">
        <v>237800</v>
      </c>
    </row>
    <row r="84" spans="1:4" x14ac:dyDescent="0.2">
      <c r="A84">
        <v>1</v>
      </c>
      <c r="B84" s="671">
        <v>1101</v>
      </c>
      <c r="C84" s="669" t="str">
        <f t="shared" si="1"/>
        <v>1/1101</v>
      </c>
      <c r="D84" s="676">
        <v>237800</v>
      </c>
    </row>
    <row r="85" spans="1:4" x14ac:dyDescent="0.2">
      <c r="A85">
        <v>1</v>
      </c>
      <c r="B85" s="671">
        <v>1102</v>
      </c>
      <c r="C85" s="669" t="str">
        <f t="shared" si="1"/>
        <v>1/1102</v>
      </c>
      <c r="D85" s="676">
        <v>233800</v>
      </c>
    </row>
    <row r="86" spans="1:4" x14ac:dyDescent="0.2">
      <c r="A86">
        <v>1</v>
      </c>
      <c r="B86" s="671">
        <v>1103</v>
      </c>
      <c r="C86" s="669" t="str">
        <f t="shared" si="1"/>
        <v>1/1103</v>
      </c>
      <c r="D86" s="676">
        <v>229200</v>
      </c>
    </row>
    <row r="87" spans="1:4" x14ac:dyDescent="0.2">
      <c r="A87">
        <v>1</v>
      </c>
      <c r="B87" s="671">
        <v>1104</v>
      </c>
      <c r="C87" s="669" t="str">
        <f t="shared" si="1"/>
        <v>1/1104</v>
      </c>
      <c r="D87" s="676">
        <v>233000</v>
      </c>
    </row>
    <row r="88" spans="1:4" x14ac:dyDescent="0.2">
      <c r="A88">
        <v>1</v>
      </c>
      <c r="B88" s="671">
        <v>1105</v>
      </c>
      <c r="C88" s="669" t="str">
        <f t="shared" si="1"/>
        <v>1/1105</v>
      </c>
      <c r="D88" s="676">
        <v>233000</v>
      </c>
    </row>
    <row r="89" spans="1:4" x14ac:dyDescent="0.2">
      <c r="A89">
        <v>1</v>
      </c>
      <c r="B89" s="671">
        <v>1106</v>
      </c>
      <c r="C89" s="669" t="str">
        <f t="shared" si="1"/>
        <v>1/1106</v>
      </c>
      <c r="D89" s="676">
        <v>229200</v>
      </c>
    </row>
    <row r="90" spans="1:4" x14ac:dyDescent="0.2">
      <c r="A90">
        <v>1</v>
      </c>
      <c r="B90" s="671">
        <v>1107</v>
      </c>
      <c r="C90" s="669" t="str">
        <f t="shared" si="1"/>
        <v>1/1107</v>
      </c>
      <c r="D90" s="676">
        <v>233800</v>
      </c>
    </row>
    <row r="91" spans="1:4" x14ac:dyDescent="0.2">
      <c r="A91">
        <v>1</v>
      </c>
      <c r="B91" s="671">
        <v>1108</v>
      </c>
      <c r="C91" s="669" t="str">
        <f t="shared" si="1"/>
        <v>1/1108</v>
      </c>
      <c r="D91" s="676">
        <v>237800</v>
      </c>
    </row>
    <row r="92" spans="1:4" x14ac:dyDescent="0.2">
      <c r="A92">
        <v>1</v>
      </c>
      <c r="B92" s="671">
        <v>1201</v>
      </c>
      <c r="C92" s="669" t="str">
        <f t="shared" si="1"/>
        <v>1/1201</v>
      </c>
      <c r="D92" s="676">
        <v>237800</v>
      </c>
    </row>
    <row r="93" spans="1:4" x14ac:dyDescent="0.2">
      <c r="A93">
        <v>1</v>
      </c>
      <c r="B93" s="671">
        <v>1202</v>
      </c>
      <c r="C93" s="669" t="str">
        <f t="shared" si="1"/>
        <v>1/1202</v>
      </c>
      <c r="D93" s="676">
        <v>233800</v>
      </c>
    </row>
    <row r="94" spans="1:4" x14ac:dyDescent="0.2">
      <c r="A94">
        <v>1</v>
      </c>
      <c r="B94" s="671">
        <v>1203</v>
      </c>
      <c r="C94" s="669" t="str">
        <f t="shared" si="1"/>
        <v>1/1203</v>
      </c>
      <c r="D94" s="676">
        <v>229200</v>
      </c>
    </row>
    <row r="95" spans="1:4" x14ac:dyDescent="0.2">
      <c r="A95">
        <v>1</v>
      </c>
      <c r="B95" s="671">
        <v>1204</v>
      </c>
      <c r="C95" s="669" t="str">
        <f t="shared" si="1"/>
        <v>1/1204</v>
      </c>
      <c r="D95" s="676">
        <v>233000</v>
      </c>
    </row>
    <row r="96" spans="1:4" x14ac:dyDescent="0.2">
      <c r="A96">
        <v>1</v>
      </c>
      <c r="B96" s="671">
        <v>1205</v>
      </c>
      <c r="C96" s="669" t="str">
        <f t="shared" si="1"/>
        <v>1/1205</v>
      </c>
      <c r="D96" s="676">
        <v>233000</v>
      </c>
    </row>
    <row r="97" spans="1:4" x14ac:dyDescent="0.2">
      <c r="A97">
        <v>1</v>
      </c>
      <c r="B97" s="671">
        <v>1206</v>
      </c>
      <c r="C97" s="669" t="str">
        <f t="shared" si="1"/>
        <v>1/1206</v>
      </c>
      <c r="D97" s="676">
        <v>229200</v>
      </c>
    </row>
    <row r="98" spans="1:4" x14ac:dyDescent="0.2">
      <c r="A98">
        <v>1</v>
      </c>
      <c r="B98" s="671">
        <v>1207</v>
      </c>
      <c r="C98" s="669" t="str">
        <f t="shared" si="1"/>
        <v>1/1207</v>
      </c>
      <c r="D98" s="676">
        <v>233800</v>
      </c>
    </row>
    <row r="99" spans="1:4" x14ac:dyDescent="0.2">
      <c r="A99">
        <v>1</v>
      </c>
      <c r="B99" s="671">
        <v>1208</v>
      </c>
      <c r="C99" s="669" t="str">
        <f t="shared" si="1"/>
        <v>1/1208</v>
      </c>
      <c r="D99" s="676">
        <v>237800</v>
      </c>
    </row>
    <row r="100" spans="1:4" x14ac:dyDescent="0.2">
      <c r="A100">
        <v>1</v>
      </c>
      <c r="B100" s="671">
        <v>1301</v>
      </c>
      <c r="C100" s="669" t="str">
        <f t="shared" si="1"/>
        <v>1/1301</v>
      </c>
      <c r="D100" s="676">
        <v>237800</v>
      </c>
    </row>
    <row r="101" spans="1:4" x14ac:dyDescent="0.2">
      <c r="A101">
        <v>1</v>
      </c>
      <c r="B101" s="671">
        <v>1302</v>
      </c>
      <c r="C101" s="669" t="str">
        <f t="shared" si="1"/>
        <v>1/1302</v>
      </c>
      <c r="D101" s="676">
        <v>233800</v>
      </c>
    </row>
    <row r="102" spans="1:4" x14ac:dyDescent="0.2">
      <c r="A102">
        <v>1</v>
      </c>
      <c r="B102" s="671">
        <v>1303</v>
      </c>
      <c r="C102" s="669" t="str">
        <f t="shared" si="1"/>
        <v>1/1303</v>
      </c>
      <c r="D102" s="676">
        <v>229200</v>
      </c>
    </row>
    <row r="103" spans="1:4" x14ac:dyDescent="0.2">
      <c r="A103">
        <v>1</v>
      </c>
      <c r="B103" s="671">
        <v>1304</v>
      </c>
      <c r="C103" s="669" t="str">
        <f t="shared" si="1"/>
        <v>1/1304</v>
      </c>
      <c r="D103" s="676">
        <v>233000</v>
      </c>
    </row>
    <row r="104" spans="1:4" x14ac:dyDescent="0.2">
      <c r="A104">
        <v>1</v>
      </c>
      <c r="B104" s="671">
        <v>1305</v>
      </c>
      <c r="C104" s="669" t="str">
        <f t="shared" si="1"/>
        <v>1/1305</v>
      </c>
      <c r="D104" s="676">
        <v>233000</v>
      </c>
    </row>
    <row r="105" spans="1:4" x14ac:dyDescent="0.2">
      <c r="A105">
        <v>1</v>
      </c>
      <c r="B105" s="671">
        <v>1306</v>
      </c>
      <c r="C105" s="669" t="str">
        <f t="shared" si="1"/>
        <v>1/1306</v>
      </c>
      <c r="D105" s="676">
        <v>229200</v>
      </c>
    </row>
    <row r="106" spans="1:4" x14ac:dyDescent="0.2">
      <c r="A106">
        <v>1</v>
      </c>
      <c r="B106" s="671">
        <v>1307</v>
      </c>
      <c r="C106" s="669" t="str">
        <f t="shared" si="1"/>
        <v>1/1307</v>
      </c>
      <c r="D106" s="676">
        <v>233800</v>
      </c>
    </row>
    <row r="107" spans="1:4" x14ac:dyDescent="0.2">
      <c r="A107">
        <v>1</v>
      </c>
      <c r="B107" s="671">
        <v>1308</v>
      </c>
      <c r="C107" s="669" t="str">
        <f t="shared" si="1"/>
        <v>1/1308</v>
      </c>
      <c r="D107" s="676">
        <v>237800</v>
      </c>
    </row>
    <row r="108" spans="1:4" x14ac:dyDescent="0.2">
      <c r="A108">
        <v>1</v>
      </c>
      <c r="B108" s="671">
        <v>1401</v>
      </c>
      <c r="C108" s="669" t="str">
        <f t="shared" si="1"/>
        <v>1/1401</v>
      </c>
      <c r="D108" s="676">
        <v>239000</v>
      </c>
    </row>
    <row r="109" spans="1:4" x14ac:dyDescent="0.2">
      <c r="A109">
        <v>1</v>
      </c>
      <c r="B109" s="671">
        <v>1402</v>
      </c>
      <c r="C109" s="669" t="str">
        <f t="shared" si="1"/>
        <v>1/1402</v>
      </c>
      <c r="D109" s="676">
        <v>235000</v>
      </c>
    </row>
    <row r="110" spans="1:4" x14ac:dyDescent="0.2">
      <c r="A110">
        <v>1</v>
      </c>
      <c r="B110" s="671">
        <v>1403</v>
      </c>
      <c r="C110" s="669" t="str">
        <f t="shared" si="1"/>
        <v>1/1403</v>
      </c>
      <c r="D110" s="676">
        <v>230300</v>
      </c>
    </row>
    <row r="111" spans="1:4" x14ac:dyDescent="0.2">
      <c r="A111">
        <v>1</v>
      </c>
      <c r="B111" s="671">
        <v>1404</v>
      </c>
      <c r="C111" s="669" t="str">
        <f t="shared" si="1"/>
        <v>1/1404</v>
      </c>
      <c r="D111" s="676">
        <v>234200</v>
      </c>
    </row>
    <row r="112" spans="1:4" x14ac:dyDescent="0.2">
      <c r="A112">
        <v>1</v>
      </c>
      <c r="B112" s="671">
        <v>1405</v>
      </c>
      <c r="C112" s="669" t="str">
        <f t="shared" si="1"/>
        <v>1/1405</v>
      </c>
      <c r="D112" s="676">
        <v>234200</v>
      </c>
    </row>
    <row r="113" spans="1:4" x14ac:dyDescent="0.2">
      <c r="A113">
        <v>1</v>
      </c>
      <c r="B113" s="671">
        <v>1406</v>
      </c>
      <c r="C113" s="669" t="str">
        <f t="shared" si="1"/>
        <v>1/1406</v>
      </c>
      <c r="D113" s="676">
        <v>230300</v>
      </c>
    </row>
    <row r="114" spans="1:4" x14ac:dyDescent="0.2">
      <c r="A114">
        <v>1</v>
      </c>
      <c r="B114" s="671">
        <v>1407</v>
      </c>
      <c r="C114" s="669" t="str">
        <f t="shared" si="1"/>
        <v>1/1407</v>
      </c>
      <c r="D114" s="676">
        <v>235000</v>
      </c>
    </row>
    <row r="115" spans="1:4" x14ac:dyDescent="0.2">
      <c r="A115">
        <v>1</v>
      </c>
      <c r="B115" s="671">
        <v>1408</v>
      </c>
      <c r="C115" s="669" t="str">
        <f t="shared" si="1"/>
        <v>1/1408</v>
      </c>
      <c r="D115" s="676">
        <v>239000</v>
      </c>
    </row>
    <row r="116" spans="1:4" x14ac:dyDescent="0.2">
      <c r="A116">
        <v>1</v>
      </c>
      <c r="B116" s="671">
        <v>1501</v>
      </c>
      <c r="C116" s="669" t="str">
        <f t="shared" si="1"/>
        <v>1/1501</v>
      </c>
      <c r="D116" s="676">
        <v>239000</v>
      </c>
    </row>
    <row r="117" spans="1:4" x14ac:dyDescent="0.2">
      <c r="A117">
        <v>1</v>
      </c>
      <c r="B117" s="671">
        <v>1502</v>
      </c>
      <c r="C117" s="669" t="str">
        <f t="shared" si="1"/>
        <v>1/1502</v>
      </c>
      <c r="D117" s="676">
        <v>225000</v>
      </c>
    </row>
    <row r="118" spans="1:4" x14ac:dyDescent="0.2">
      <c r="A118">
        <v>1</v>
      </c>
      <c r="B118" s="671">
        <v>1503</v>
      </c>
      <c r="C118" s="669" t="str">
        <f t="shared" si="1"/>
        <v>1/1503</v>
      </c>
      <c r="D118" s="676">
        <v>225000</v>
      </c>
    </row>
    <row r="119" spans="1:4" x14ac:dyDescent="0.2">
      <c r="A119">
        <v>1</v>
      </c>
      <c r="B119" s="671">
        <v>1504</v>
      </c>
      <c r="C119" s="669" t="str">
        <f t="shared" si="1"/>
        <v>1/1504</v>
      </c>
      <c r="D119" s="676">
        <v>234200</v>
      </c>
    </row>
    <row r="120" spans="1:4" x14ac:dyDescent="0.2">
      <c r="A120">
        <v>1</v>
      </c>
      <c r="B120" s="671">
        <v>1505</v>
      </c>
      <c r="C120" s="669" t="str">
        <f t="shared" si="1"/>
        <v>1/1505</v>
      </c>
      <c r="D120" s="676">
        <v>234200</v>
      </c>
    </row>
    <row r="121" spans="1:4" x14ac:dyDescent="0.2">
      <c r="A121">
        <v>1</v>
      </c>
      <c r="B121" s="671">
        <v>1506</v>
      </c>
      <c r="C121" s="669" t="str">
        <f t="shared" si="1"/>
        <v>1/1506</v>
      </c>
      <c r="D121" s="676">
        <v>225000</v>
      </c>
    </row>
    <row r="122" spans="1:4" x14ac:dyDescent="0.2">
      <c r="A122">
        <v>1</v>
      </c>
      <c r="B122" s="671">
        <v>1507</v>
      </c>
      <c r="C122" s="669" t="str">
        <f t="shared" si="1"/>
        <v>1/1507</v>
      </c>
      <c r="D122" s="676">
        <v>225000</v>
      </c>
    </row>
    <row r="123" spans="1:4" x14ac:dyDescent="0.2">
      <c r="A123">
        <v>1</v>
      </c>
      <c r="B123" s="671">
        <v>1508</v>
      </c>
      <c r="C123" s="669" t="str">
        <f t="shared" si="1"/>
        <v>1/1508</v>
      </c>
      <c r="D123" s="676">
        <v>239000</v>
      </c>
    </row>
    <row r="124" spans="1:4" x14ac:dyDescent="0.2">
      <c r="A124">
        <v>2</v>
      </c>
      <c r="B124">
        <v>101</v>
      </c>
      <c r="C124" s="675" t="str">
        <f t="shared" si="1"/>
        <v>2/101</v>
      </c>
      <c r="D124" s="674">
        <v>208700</v>
      </c>
    </row>
    <row r="125" spans="1:4" x14ac:dyDescent="0.2">
      <c r="A125">
        <v>2</v>
      </c>
      <c r="B125">
        <v>102</v>
      </c>
      <c r="C125" s="675" t="str">
        <f t="shared" si="1"/>
        <v>2/102</v>
      </c>
      <c r="D125" s="674">
        <v>205000</v>
      </c>
    </row>
    <row r="126" spans="1:4" x14ac:dyDescent="0.2">
      <c r="A126">
        <v>2</v>
      </c>
      <c r="B126">
        <v>103</v>
      </c>
      <c r="C126" s="675" t="str">
        <f t="shared" si="1"/>
        <v>2/103</v>
      </c>
      <c r="D126" s="674">
        <v>200600</v>
      </c>
    </row>
    <row r="127" spans="1:4" x14ac:dyDescent="0.2">
      <c r="A127">
        <v>2</v>
      </c>
      <c r="B127">
        <v>104</v>
      </c>
      <c r="C127" s="675" t="str">
        <f t="shared" si="1"/>
        <v>2/104</v>
      </c>
      <c r="D127" s="674">
        <v>204200</v>
      </c>
    </row>
    <row r="128" spans="1:4" x14ac:dyDescent="0.2">
      <c r="A128">
        <v>2</v>
      </c>
      <c r="B128">
        <v>105</v>
      </c>
      <c r="C128" s="675" t="str">
        <f t="shared" si="1"/>
        <v>2/105</v>
      </c>
      <c r="D128" s="674">
        <v>204200</v>
      </c>
    </row>
    <row r="129" spans="1:4" x14ac:dyDescent="0.2">
      <c r="A129">
        <v>2</v>
      </c>
      <c r="B129">
        <v>201</v>
      </c>
      <c r="C129" s="675" t="str">
        <f t="shared" ref="C129:C170" si="2">A129&amp;"/"&amp;B129</f>
        <v>2/201</v>
      </c>
      <c r="D129" s="674">
        <v>215500</v>
      </c>
    </row>
    <row r="130" spans="1:4" x14ac:dyDescent="0.2">
      <c r="A130">
        <v>2</v>
      </c>
      <c r="B130">
        <v>202</v>
      </c>
      <c r="C130" s="675" t="str">
        <f t="shared" si="2"/>
        <v>2/202</v>
      </c>
      <c r="D130" s="674">
        <v>211600</v>
      </c>
    </row>
    <row r="131" spans="1:4" x14ac:dyDescent="0.2">
      <c r="A131">
        <v>2</v>
      </c>
      <c r="B131">
        <v>203</v>
      </c>
      <c r="C131" s="675" t="str">
        <f t="shared" si="2"/>
        <v>2/203</v>
      </c>
      <c r="D131" s="674">
        <v>207100</v>
      </c>
    </row>
    <row r="132" spans="1:4" x14ac:dyDescent="0.2">
      <c r="A132">
        <v>2</v>
      </c>
      <c r="B132">
        <v>204</v>
      </c>
      <c r="C132" s="675" t="str">
        <f t="shared" si="2"/>
        <v>2/204</v>
      </c>
      <c r="D132" s="674">
        <v>210800</v>
      </c>
    </row>
    <row r="133" spans="1:4" x14ac:dyDescent="0.2">
      <c r="A133">
        <v>2</v>
      </c>
      <c r="B133">
        <v>205</v>
      </c>
      <c r="C133" s="675" t="str">
        <f t="shared" si="2"/>
        <v>2/205</v>
      </c>
      <c r="D133" s="674">
        <v>210800</v>
      </c>
    </row>
    <row r="134" spans="1:4" x14ac:dyDescent="0.2">
      <c r="A134">
        <v>2</v>
      </c>
      <c r="B134">
        <v>206</v>
      </c>
      <c r="C134" s="675" t="str">
        <f t="shared" si="2"/>
        <v>2/206</v>
      </c>
      <c r="D134" s="674">
        <v>207100</v>
      </c>
    </row>
    <row r="135" spans="1:4" x14ac:dyDescent="0.2">
      <c r="A135">
        <v>2</v>
      </c>
      <c r="B135">
        <v>207</v>
      </c>
      <c r="C135" s="675" t="str">
        <f t="shared" si="2"/>
        <v>2/207</v>
      </c>
      <c r="D135" s="674">
        <v>211600</v>
      </c>
    </row>
    <row r="136" spans="1:4" x14ac:dyDescent="0.2">
      <c r="A136">
        <v>2</v>
      </c>
      <c r="B136">
        <v>208</v>
      </c>
      <c r="C136" s="675" t="str">
        <f t="shared" si="2"/>
        <v>2/208</v>
      </c>
      <c r="D136" s="674">
        <v>215500</v>
      </c>
    </row>
    <row r="137" spans="1:4" x14ac:dyDescent="0.2">
      <c r="A137">
        <v>2</v>
      </c>
      <c r="B137">
        <v>301</v>
      </c>
      <c r="C137" s="675" t="str">
        <f t="shared" si="2"/>
        <v>2/301</v>
      </c>
      <c r="D137" s="674">
        <v>215500</v>
      </c>
    </row>
    <row r="138" spans="1:4" x14ac:dyDescent="0.2">
      <c r="A138">
        <v>2</v>
      </c>
      <c r="B138">
        <v>302</v>
      </c>
      <c r="C138" s="675" t="str">
        <f t="shared" si="2"/>
        <v>2/302</v>
      </c>
      <c r="D138" s="674">
        <v>211600</v>
      </c>
    </row>
    <row r="139" spans="1:4" x14ac:dyDescent="0.2">
      <c r="A139">
        <v>2</v>
      </c>
      <c r="B139">
        <v>303</v>
      </c>
      <c r="C139" s="675" t="str">
        <f t="shared" si="2"/>
        <v>2/303</v>
      </c>
      <c r="D139" s="674">
        <v>207100</v>
      </c>
    </row>
    <row r="140" spans="1:4" x14ac:dyDescent="0.2">
      <c r="A140">
        <v>2</v>
      </c>
      <c r="B140">
        <v>304</v>
      </c>
      <c r="C140" s="675" t="str">
        <f t="shared" si="2"/>
        <v>2/304</v>
      </c>
      <c r="D140" s="674">
        <v>210800</v>
      </c>
    </row>
    <row r="141" spans="1:4" x14ac:dyDescent="0.2">
      <c r="A141">
        <v>2</v>
      </c>
      <c r="B141">
        <v>305</v>
      </c>
      <c r="C141" s="675" t="str">
        <f t="shared" si="2"/>
        <v>2/305</v>
      </c>
      <c r="D141" s="674">
        <v>210800</v>
      </c>
    </row>
    <row r="142" spans="1:4" x14ac:dyDescent="0.2">
      <c r="A142">
        <v>2</v>
      </c>
      <c r="B142">
        <v>306</v>
      </c>
      <c r="C142" s="675" t="str">
        <f t="shared" si="2"/>
        <v>2/306</v>
      </c>
      <c r="D142" s="674">
        <v>207100</v>
      </c>
    </row>
    <row r="143" spans="1:4" x14ac:dyDescent="0.2">
      <c r="A143">
        <v>2</v>
      </c>
      <c r="B143">
        <v>307</v>
      </c>
      <c r="C143" s="675" t="str">
        <f t="shared" si="2"/>
        <v>2/307</v>
      </c>
      <c r="D143" s="674">
        <v>211600</v>
      </c>
    </row>
    <row r="144" spans="1:4" x14ac:dyDescent="0.2">
      <c r="A144">
        <v>2</v>
      </c>
      <c r="B144">
        <v>308</v>
      </c>
      <c r="C144" s="675" t="str">
        <f t="shared" si="2"/>
        <v>2/308</v>
      </c>
      <c r="D144" s="674">
        <v>215500</v>
      </c>
    </row>
    <row r="145" spans="1:4" x14ac:dyDescent="0.2">
      <c r="A145">
        <v>2</v>
      </c>
      <c r="B145">
        <v>401</v>
      </c>
      <c r="C145" s="675" t="str">
        <f t="shared" si="2"/>
        <v>2/401</v>
      </c>
      <c r="D145" s="674">
        <v>233000</v>
      </c>
    </row>
    <row r="146" spans="1:4" x14ac:dyDescent="0.2">
      <c r="A146">
        <v>2</v>
      </c>
      <c r="B146">
        <v>402</v>
      </c>
      <c r="C146" s="675" t="str">
        <f t="shared" si="2"/>
        <v>2/402</v>
      </c>
      <c r="D146" s="674">
        <v>229100</v>
      </c>
    </row>
    <row r="147" spans="1:4" x14ac:dyDescent="0.2">
      <c r="A147">
        <v>2</v>
      </c>
      <c r="B147">
        <v>403</v>
      </c>
      <c r="C147" s="675" t="str">
        <f t="shared" si="2"/>
        <v>2/403</v>
      </c>
      <c r="D147" s="674">
        <v>207100</v>
      </c>
    </row>
    <row r="148" spans="1:4" x14ac:dyDescent="0.2">
      <c r="A148">
        <v>2</v>
      </c>
      <c r="B148">
        <v>404</v>
      </c>
      <c r="C148" s="675" t="str">
        <f t="shared" si="2"/>
        <v>2/404</v>
      </c>
      <c r="D148" s="674">
        <v>210800</v>
      </c>
    </row>
    <row r="149" spans="1:4" x14ac:dyDescent="0.2">
      <c r="A149">
        <v>2</v>
      </c>
      <c r="B149">
        <v>405</v>
      </c>
      <c r="C149" s="675" t="str">
        <f t="shared" si="2"/>
        <v>2/405</v>
      </c>
      <c r="D149" s="674">
        <v>210800</v>
      </c>
    </row>
    <row r="150" spans="1:4" x14ac:dyDescent="0.2">
      <c r="A150">
        <v>2</v>
      </c>
      <c r="B150">
        <v>406</v>
      </c>
      <c r="C150" s="675" t="str">
        <f t="shared" si="2"/>
        <v>2/406</v>
      </c>
      <c r="D150" s="674">
        <v>207100</v>
      </c>
    </row>
    <row r="151" spans="1:4" x14ac:dyDescent="0.2">
      <c r="A151">
        <v>2</v>
      </c>
      <c r="B151">
        <v>407</v>
      </c>
      <c r="C151" s="675" t="str">
        <f t="shared" si="2"/>
        <v>2/407</v>
      </c>
      <c r="D151" s="674">
        <v>211600</v>
      </c>
    </row>
    <row r="152" spans="1:4" x14ac:dyDescent="0.2">
      <c r="A152">
        <v>2</v>
      </c>
      <c r="B152">
        <v>408</v>
      </c>
      <c r="C152" s="675" t="str">
        <f t="shared" si="2"/>
        <v>2/408</v>
      </c>
      <c r="D152" s="674">
        <v>233000</v>
      </c>
    </row>
    <row r="153" spans="1:4" x14ac:dyDescent="0.2">
      <c r="A153">
        <v>2</v>
      </c>
      <c r="B153">
        <v>501</v>
      </c>
      <c r="C153" s="675" t="str">
        <f t="shared" si="2"/>
        <v>2/501</v>
      </c>
      <c r="D153" s="674">
        <v>233000</v>
      </c>
    </row>
    <row r="154" spans="1:4" x14ac:dyDescent="0.2">
      <c r="A154">
        <v>2</v>
      </c>
      <c r="B154">
        <v>502</v>
      </c>
      <c r="C154" s="675" t="str">
        <f t="shared" si="2"/>
        <v>2/502</v>
      </c>
      <c r="D154" s="674">
        <v>229100</v>
      </c>
    </row>
    <row r="155" spans="1:4" x14ac:dyDescent="0.2">
      <c r="A155">
        <v>2</v>
      </c>
      <c r="B155">
        <v>503</v>
      </c>
      <c r="C155" s="675" t="str">
        <f t="shared" si="2"/>
        <v>2/503</v>
      </c>
      <c r="D155" s="674">
        <v>224600</v>
      </c>
    </row>
    <row r="156" spans="1:4" x14ac:dyDescent="0.2">
      <c r="A156">
        <v>2</v>
      </c>
      <c r="B156">
        <v>504</v>
      </c>
      <c r="C156" s="675" t="str">
        <f t="shared" si="2"/>
        <v>2/504</v>
      </c>
      <c r="D156" s="674">
        <v>228300</v>
      </c>
    </row>
    <row r="157" spans="1:4" x14ac:dyDescent="0.2">
      <c r="A157">
        <v>2</v>
      </c>
      <c r="B157">
        <v>505</v>
      </c>
      <c r="C157" s="675" t="str">
        <f t="shared" si="2"/>
        <v>2/505</v>
      </c>
      <c r="D157" s="674">
        <v>228300</v>
      </c>
    </row>
    <row r="158" spans="1:4" x14ac:dyDescent="0.2">
      <c r="A158">
        <v>2</v>
      </c>
      <c r="B158">
        <v>506</v>
      </c>
      <c r="C158" s="675" t="str">
        <f t="shared" si="2"/>
        <v>2/506</v>
      </c>
      <c r="D158" s="674">
        <v>224600</v>
      </c>
    </row>
    <row r="159" spans="1:4" x14ac:dyDescent="0.2">
      <c r="A159">
        <v>2</v>
      </c>
      <c r="B159">
        <v>507</v>
      </c>
      <c r="C159" s="675" t="str">
        <f t="shared" si="2"/>
        <v>2/507</v>
      </c>
      <c r="D159" s="674">
        <v>229100</v>
      </c>
    </row>
    <row r="160" spans="1:4" x14ac:dyDescent="0.2">
      <c r="A160">
        <v>2</v>
      </c>
      <c r="B160">
        <v>508</v>
      </c>
      <c r="C160" s="675" t="str">
        <f t="shared" si="2"/>
        <v>2/508</v>
      </c>
      <c r="D160" s="674">
        <v>233000</v>
      </c>
    </row>
    <row r="161" spans="1:4" x14ac:dyDescent="0.2">
      <c r="A161">
        <v>2</v>
      </c>
      <c r="B161">
        <v>601</v>
      </c>
      <c r="C161" s="675" t="str">
        <f t="shared" si="2"/>
        <v>2/601</v>
      </c>
      <c r="D161" s="674">
        <v>235400</v>
      </c>
    </row>
    <row r="162" spans="1:4" x14ac:dyDescent="0.2">
      <c r="A162">
        <v>2</v>
      </c>
      <c r="B162">
        <v>602</v>
      </c>
      <c r="C162" s="675" t="str">
        <f t="shared" si="2"/>
        <v>2/602</v>
      </c>
      <c r="D162" s="674">
        <v>231500</v>
      </c>
    </row>
    <row r="163" spans="1:4" x14ac:dyDescent="0.2">
      <c r="A163">
        <v>2</v>
      </c>
      <c r="B163">
        <v>601</v>
      </c>
      <c r="C163" s="675" t="str">
        <f t="shared" si="2"/>
        <v>2/601</v>
      </c>
      <c r="D163" s="674">
        <v>235400</v>
      </c>
    </row>
    <row r="164" spans="1:4" x14ac:dyDescent="0.2">
      <c r="A164">
        <v>2</v>
      </c>
      <c r="B164">
        <v>602</v>
      </c>
      <c r="C164" s="675" t="str">
        <f t="shared" si="2"/>
        <v>2/602</v>
      </c>
      <c r="D164" s="674">
        <v>231500</v>
      </c>
    </row>
    <row r="165" spans="1:4" x14ac:dyDescent="0.2">
      <c r="A165">
        <v>2</v>
      </c>
      <c r="B165">
        <v>603</v>
      </c>
      <c r="C165" s="675" t="str">
        <f t="shared" si="2"/>
        <v>2/603</v>
      </c>
      <c r="D165" s="674">
        <v>226900</v>
      </c>
    </row>
    <row r="166" spans="1:4" x14ac:dyDescent="0.2">
      <c r="A166">
        <v>2</v>
      </c>
      <c r="B166">
        <v>604</v>
      </c>
      <c r="C166" s="675" t="str">
        <f t="shared" si="2"/>
        <v>2/604</v>
      </c>
      <c r="D166" s="674">
        <v>230700</v>
      </c>
    </row>
    <row r="167" spans="1:4" x14ac:dyDescent="0.2">
      <c r="A167">
        <v>2</v>
      </c>
      <c r="B167">
        <v>605</v>
      </c>
      <c r="C167" s="675" t="str">
        <f t="shared" si="2"/>
        <v>2/605</v>
      </c>
      <c r="D167" s="674">
        <v>230700</v>
      </c>
    </row>
    <row r="168" spans="1:4" x14ac:dyDescent="0.2">
      <c r="A168">
        <v>2</v>
      </c>
      <c r="B168">
        <v>606</v>
      </c>
      <c r="C168" s="675" t="str">
        <f t="shared" si="2"/>
        <v>2/606</v>
      </c>
      <c r="D168" s="674">
        <v>226900</v>
      </c>
    </row>
    <row r="169" spans="1:4" x14ac:dyDescent="0.2">
      <c r="A169">
        <v>2</v>
      </c>
      <c r="B169">
        <v>607</v>
      </c>
      <c r="C169" s="675" t="str">
        <f t="shared" si="2"/>
        <v>2/607</v>
      </c>
      <c r="D169" s="674">
        <v>231500</v>
      </c>
    </row>
    <row r="170" spans="1:4" x14ac:dyDescent="0.2">
      <c r="A170">
        <v>2</v>
      </c>
      <c r="B170">
        <v>608</v>
      </c>
      <c r="C170" s="675" t="str">
        <f t="shared" si="2"/>
        <v>2/608</v>
      </c>
      <c r="D170" s="674">
        <v>235400</v>
      </c>
    </row>
    <row r="171" spans="1:4" x14ac:dyDescent="0.2">
      <c r="A171">
        <v>2</v>
      </c>
      <c r="B171">
        <v>701</v>
      </c>
      <c r="C171" s="675" t="str">
        <f t="shared" ref="C171:C213" si="3">A171&amp;"/"&amp;B171</f>
        <v>2/701</v>
      </c>
      <c r="D171" s="674">
        <v>235400</v>
      </c>
    </row>
    <row r="172" spans="1:4" x14ac:dyDescent="0.2">
      <c r="A172">
        <v>2</v>
      </c>
      <c r="B172">
        <v>702</v>
      </c>
      <c r="C172" s="675" t="str">
        <f t="shared" si="3"/>
        <v>2/702</v>
      </c>
      <c r="D172" s="674">
        <v>231500</v>
      </c>
    </row>
    <row r="173" spans="1:4" x14ac:dyDescent="0.2">
      <c r="A173">
        <v>2</v>
      </c>
      <c r="B173">
        <v>703</v>
      </c>
      <c r="C173" s="675" t="str">
        <f t="shared" si="3"/>
        <v>2/703</v>
      </c>
      <c r="D173" s="674">
        <v>226900</v>
      </c>
    </row>
    <row r="174" spans="1:4" x14ac:dyDescent="0.2">
      <c r="A174">
        <v>2</v>
      </c>
      <c r="B174">
        <v>704</v>
      </c>
      <c r="C174" s="675" t="str">
        <f t="shared" si="3"/>
        <v>2/704</v>
      </c>
      <c r="D174" s="674">
        <v>230700</v>
      </c>
    </row>
    <row r="175" spans="1:4" x14ac:dyDescent="0.2">
      <c r="A175">
        <v>2</v>
      </c>
      <c r="B175">
        <v>705</v>
      </c>
      <c r="C175" s="675" t="str">
        <f t="shared" si="3"/>
        <v>2/705</v>
      </c>
      <c r="D175" s="674">
        <v>230700</v>
      </c>
    </row>
    <row r="176" spans="1:4" x14ac:dyDescent="0.2">
      <c r="A176">
        <v>2</v>
      </c>
      <c r="B176">
        <v>706</v>
      </c>
      <c r="C176" s="675" t="str">
        <f t="shared" si="3"/>
        <v>2/706</v>
      </c>
      <c r="D176" s="674">
        <v>226900</v>
      </c>
    </row>
    <row r="177" spans="1:4" x14ac:dyDescent="0.2">
      <c r="A177">
        <v>2</v>
      </c>
      <c r="B177">
        <v>707</v>
      </c>
      <c r="C177" s="675" t="str">
        <f t="shared" si="3"/>
        <v>2/707</v>
      </c>
      <c r="D177" s="674">
        <v>231500</v>
      </c>
    </row>
    <row r="178" spans="1:4" x14ac:dyDescent="0.2">
      <c r="A178">
        <v>2</v>
      </c>
      <c r="B178">
        <v>708</v>
      </c>
      <c r="C178" s="675" t="str">
        <f t="shared" si="3"/>
        <v>2/708</v>
      </c>
      <c r="D178" s="674">
        <v>235400</v>
      </c>
    </row>
    <row r="179" spans="1:4" x14ac:dyDescent="0.2">
      <c r="A179">
        <v>2</v>
      </c>
      <c r="B179">
        <v>801</v>
      </c>
      <c r="C179" s="675" t="str">
        <f t="shared" si="3"/>
        <v>2/801</v>
      </c>
      <c r="D179" s="674">
        <v>235400</v>
      </c>
    </row>
    <row r="180" spans="1:4" x14ac:dyDescent="0.2">
      <c r="A180">
        <v>2</v>
      </c>
      <c r="B180">
        <v>802</v>
      </c>
      <c r="C180" s="675" t="str">
        <f t="shared" si="3"/>
        <v>2/802</v>
      </c>
      <c r="D180" s="674">
        <v>231500</v>
      </c>
    </row>
    <row r="181" spans="1:4" x14ac:dyDescent="0.2">
      <c r="A181">
        <v>2</v>
      </c>
      <c r="B181">
        <v>803</v>
      </c>
      <c r="C181" s="675" t="str">
        <f t="shared" si="3"/>
        <v>2/803</v>
      </c>
      <c r="D181" s="674">
        <v>226900</v>
      </c>
    </row>
    <row r="182" spans="1:4" x14ac:dyDescent="0.2">
      <c r="A182">
        <v>2</v>
      </c>
      <c r="B182">
        <v>804</v>
      </c>
      <c r="C182" s="675" t="str">
        <f t="shared" si="3"/>
        <v>2/804</v>
      </c>
      <c r="D182" s="674">
        <v>230700</v>
      </c>
    </row>
    <row r="183" spans="1:4" x14ac:dyDescent="0.2">
      <c r="A183">
        <v>2</v>
      </c>
      <c r="B183">
        <v>805</v>
      </c>
      <c r="C183" s="675" t="str">
        <f t="shared" si="3"/>
        <v>2/805</v>
      </c>
      <c r="D183" s="674">
        <v>230700</v>
      </c>
    </row>
    <row r="184" spans="1:4" x14ac:dyDescent="0.2">
      <c r="A184">
        <v>2</v>
      </c>
      <c r="B184">
        <v>806</v>
      </c>
      <c r="C184" s="675" t="str">
        <f t="shared" si="3"/>
        <v>2/806</v>
      </c>
      <c r="D184" s="674">
        <v>226900</v>
      </c>
    </row>
    <row r="185" spans="1:4" x14ac:dyDescent="0.2">
      <c r="A185">
        <v>2</v>
      </c>
      <c r="B185">
        <v>807</v>
      </c>
      <c r="C185" s="675" t="str">
        <f t="shared" si="3"/>
        <v>2/807</v>
      </c>
      <c r="D185" s="674">
        <v>231500</v>
      </c>
    </row>
    <row r="186" spans="1:4" x14ac:dyDescent="0.2">
      <c r="A186">
        <v>2</v>
      </c>
      <c r="B186">
        <v>808</v>
      </c>
      <c r="C186" s="675" t="str">
        <f t="shared" si="3"/>
        <v>2/808</v>
      </c>
      <c r="D186" s="674">
        <v>235400</v>
      </c>
    </row>
    <row r="187" spans="1:4" x14ac:dyDescent="0.2">
      <c r="A187">
        <v>2</v>
      </c>
      <c r="B187">
        <v>901</v>
      </c>
      <c r="C187" s="675" t="str">
        <f t="shared" si="3"/>
        <v>2/901</v>
      </c>
      <c r="D187" s="674">
        <v>235400</v>
      </c>
    </row>
    <row r="188" spans="1:4" x14ac:dyDescent="0.2">
      <c r="A188">
        <v>2</v>
      </c>
      <c r="B188">
        <v>902</v>
      </c>
      <c r="C188" s="675" t="str">
        <f t="shared" si="3"/>
        <v>2/902</v>
      </c>
      <c r="D188" s="674">
        <v>231500</v>
      </c>
    </row>
    <row r="189" spans="1:4" x14ac:dyDescent="0.2">
      <c r="A189">
        <v>2</v>
      </c>
      <c r="B189">
        <v>903</v>
      </c>
      <c r="C189" s="675" t="str">
        <f t="shared" si="3"/>
        <v>2/903</v>
      </c>
      <c r="D189" s="674">
        <v>226900</v>
      </c>
    </row>
    <row r="190" spans="1:4" x14ac:dyDescent="0.2">
      <c r="A190">
        <v>2</v>
      </c>
      <c r="B190">
        <v>904</v>
      </c>
      <c r="C190" s="675" t="str">
        <f t="shared" si="3"/>
        <v>2/904</v>
      </c>
      <c r="D190" s="674">
        <v>230700</v>
      </c>
    </row>
    <row r="191" spans="1:4" x14ac:dyDescent="0.2">
      <c r="A191">
        <v>2</v>
      </c>
      <c r="B191">
        <v>905</v>
      </c>
      <c r="C191" s="675" t="str">
        <f t="shared" si="3"/>
        <v>2/905</v>
      </c>
      <c r="D191" s="674">
        <v>230700</v>
      </c>
    </row>
    <row r="192" spans="1:4" x14ac:dyDescent="0.2">
      <c r="A192">
        <v>2</v>
      </c>
      <c r="B192">
        <v>906</v>
      </c>
      <c r="C192" s="675" t="str">
        <f t="shared" si="3"/>
        <v>2/906</v>
      </c>
      <c r="D192" s="674">
        <v>226900</v>
      </c>
    </row>
    <row r="193" spans="1:4" x14ac:dyDescent="0.2">
      <c r="A193">
        <v>2</v>
      </c>
      <c r="B193">
        <v>907</v>
      </c>
      <c r="C193" s="675" t="str">
        <f t="shared" si="3"/>
        <v>2/907</v>
      </c>
      <c r="D193" s="674">
        <v>231500</v>
      </c>
    </row>
    <row r="194" spans="1:4" x14ac:dyDescent="0.2">
      <c r="A194">
        <v>2</v>
      </c>
      <c r="B194">
        <v>908</v>
      </c>
      <c r="C194" s="675" t="str">
        <f t="shared" si="3"/>
        <v>2/908</v>
      </c>
      <c r="D194" s="674">
        <v>235400</v>
      </c>
    </row>
    <row r="195" spans="1:4" x14ac:dyDescent="0.2">
      <c r="A195">
        <v>2</v>
      </c>
      <c r="B195">
        <v>1001</v>
      </c>
      <c r="C195" s="675" t="str">
        <f t="shared" si="3"/>
        <v>2/1001</v>
      </c>
      <c r="D195" s="674">
        <v>237800</v>
      </c>
    </row>
    <row r="196" spans="1:4" x14ac:dyDescent="0.2">
      <c r="A196">
        <v>2</v>
      </c>
      <c r="B196">
        <v>1002</v>
      </c>
      <c r="C196" s="675" t="str">
        <f t="shared" si="3"/>
        <v>2/1002</v>
      </c>
      <c r="D196" s="674">
        <v>233800</v>
      </c>
    </row>
    <row r="197" spans="1:4" x14ac:dyDescent="0.2">
      <c r="A197">
        <v>2</v>
      </c>
      <c r="B197">
        <v>1003</v>
      </c>
      <c r="C197" s="675" t="str">
        <f t="shared" si="3"/>
        <v>2/1003</v>
      </c>
      <c r="D197" s="674">
        <v>229200</v>
      </c>
    </row>
    <row r="198" spans="1:4" x14ac:dyDescent="0.2">
      <c r="A198">
        <v>2</v>
      </c>
      <c r="B198">
        <v>1004</v>
      </c>
      <c r="C198" s="675" t="str">
        <f t="shared" si="3"/>
        <v>2/1004</v>
      </c>
      <c r="D198" s="674">
        <v>233000</v>
      </c>
    </row>
    <row r="199" spans="1:4" x14ac:dyDescent="0.2">
      <c r="A199">
        <v>2</v>
      </c>
      <c r="B199">
        <v>1005</v>
      </c>
      <c r="C199" s="675" t="str">
        <f t="shared" si="3"/>
        <v>2/1005</v>
      </c>
      <c r="D199" s="674">
        <v>233000</v>
      </c>
    </row>
    <row r="200" spans="1:4" x14ac:dyDescent="0.2">
      <c r="A200">
        <v>2</v>
      </c>
      <c r="B200">
        <v>1006</v>
      </c>
      <c r="C200" s="675" t="str">
        <f t="shared" si="3"/>
        <v>2/1006</v>
      </c>
      <c r="D200" s="674">
        <v>229200</v>
      </c>
    </row>
    <row r="201" spans="1:4" x14ac:dyDescent="0.2">
      <c r="A201">
        <v>2</v>
      </c>
      <c r="B201">
        <v>1007</v>
      </c>
      <c r="C201" s="675" t="str">
        <f t="shared" si="3"/>
        <v>2/1007</v>
      </c>
      <c r="D201" s="674">
        <v>233800</v>
      </c>
    </row>
    <row r="202" spans="1:4" x14ac:dyDescent="0.2">
      <c r="A202">
        <v>2</v>
      </c>
      <c r="B202">
        <v>1008</v>
      </c>
      <c r="C202" s="675" t="str">
        <f t="shared" si="3"/>
        <v>2/1008</v>
      </c>
      <c r="D202" s="674">
        <v>237800</v>
      </c>
    </row>
    <row r="203" spans="1:4" x14ac:dyDescent="0.2">
      <c r="A203">
        <v>2</v>
      </c>
      <c r="B203">
        <v>1101</v>
      </c>
      <c r="C203" s="675" t="str">
        <f t="shared" si="3"/>
        <v>2/1101</v>
      </c>
      <c r="D203" s="674">
        <v>237800</v>
      </c>
    </row>
    <row r="204" spans="1:4" x14ac:dyDescent="0.2">
      <c r="A204">
        <v>2</v>
      </c>
      <c r="B204">
        <v>1102</v>
      </c>
      <c r="C204" s="675" t="str">
        <f t="shared" si="3"/>
        <v>2/1102</v>
      </c>
      <c r="D204" s="674">
        <v>233800</v>
      </c>
    </row>
    <row r="205" spans="1:4" x14ac:dyDescent="0.2">
      <c r="A205">
        <v>2</v>
      </c>
      <c r="B205">
        <v>1103</v>
      </c>
      <c r="C205" s="675" t="str">
        <f t="shared" si="3"/>
        <v>2/1103</v>
      </c>
      <c r="D205" s="674">
        <v>229200</v>
      </c>
    </row>
    <row r="206" spans="1:4" x14ac:dyDescent="0.2">
      <c r="A206">
        <v>2</v>
      </c>
      <c r="B206">
        <v>1104</v>
      </c>
      <c r="C206" s="675" t="str">
        <f t="shared" si="3"/>
        <v>2/1104</v>
      </c>
      <c r="D206" s="674">
        <v>233000</v>
      </c>
    </row>
    <row r="207" spans="1:4" x14ac:dyDescent="0.2">
      <c r="A207">
        <v>2</v>
      </c>
      <c r="B207">
        <v>1105</v>
      </c>
      <c r="C207" s="675" t="str">
        <f t="shared" si="3"/>
        <v>2/1105</v>
      </c>
      <c r="D207" s="674">
        <v>233000</v>
      </c>
    </row>
    <row r="208" spans="1:4" x14ac:dyDescent="0.2">
      <c r="A208">
        <v>2</v>
      </c>
      <c r="B208">
        <v>1106</v>
      </c>
      <c r="C208" s="675" t="str">
        <f t="shared" si="3"/>
        <v>2/1106</v>
      </c>
      <c r="D208" s="674">
        <v>229200</v>
      </c>
    </row>
    <row r="209" spans="1:4" x14ac:dyDescent="0.2">
      <c r="A209">
        <v>2</v>
      </c>
      <c r="B209">
        <v>1107</v>
      </c>
      <c r="C209" s="675" t="str">
        <f t="shared" si="3"/>
        <v>2/1107</v>
      </c>
      <c r="D209" s="674">
        <v>233800</v>
      </c>
    </row>
    <row r="210" spans="1:4" x14ac:dyDescent="0.2">
      <c r="A210">
        <v>2</v>
      </c>
      <c r="B210">
        <v>1108</v>
      </c>
      <c r="C210" s="675" t="str">
        <f t="shared" si="3"/>
        <v>2/1108</v>
      </c>
      <c r="D210" s="674">
        <v>237800</v>
      </c>
    </row>
    <row r="211" spans="1:4" x14ac:dyDescent="0.2">
      <c r="A211">
        <v>2</v>
      </c>
      <c r="B211">
        <v>1201</v>
      </c>
      <c r="C211" s="675" t="str">
        <f t="shared" si="3"/>
        <v>2/1201</v>
      </c>
      <c r="D211" s="674">
        <v>237800</v>
      </c>
    </row>
    <row r="212" spans="1:4" x14ac:dyDescent="0.2">
      <c r="A212">
        <v>2</v>
      </c>
      <c r="B212">
        <v>1202</v>
      </c>
      <c r="C212" s="675" t="str">
        <f t="shared" si="3"/>
        <v>2/1202</v>
      </c>
      <c r="D212" s="674">
        <v>233800</v>
      </c>
    </row>
    <row r="213" spans="1:4" x14ac:dyDescent="0.2">
      <c r="A213">
        <v>2</v>
      </c>
      <c r="B213">
        <v>1203</v>
      </c>
      <c r="C213" s="675" t="str">
        <f t="shared" si="3"/>
        <v>2/1203</v>
      </c>
      <c r="D213" s="674">
        <v>229200</v>
      </c>
    </row>
    <row r="214" spans="1:4" x14ac:dyDescent="0.2">
      <c r="A214">
        <v>2</v>
      </c>
      <c r="B214">
        <v>1204</v>
      </c>
      <c r="C214" s="675" t="str">
        <f t="shared" ref="C214:C242" si="4">A214&amp;"/"&amp;B214</f>
        <v>2/1204</v>
      </c>
      <c r="D214" s="674">
        <v>233000</v>
      </c>
    </row>
    <row r="215" spans="1:4" x14ac:dyDescent="0.2">
      <c r="A215">
        <v>2</v>
      </c>
      <c r="B215">
        <v>1205</v>
      </c>
      <c r="C215" s="675" t="str">
        <f t="shared" si="4"/>
        <v>2/1205</v>
      </c>
      <c r="D215" s="674">
        <v>233000</v>
      </c>
    </row>
    <row r="216" spans="1:4" x14ac:dyDescent="0.2">
      <c r="A216">
        <v>2</v>
      </c>
      <c r="B216">
        <v>1206</v>
      </c>
      <c r="C216" s="675" t="str">
        <f t="shared" si="4"/>
        <v>2/1206</v>
      </c>
      <c r="D216" s="674">
        <v>229200</v>
      </c>
    </row>
    <row r="217" spans="1:4" x14ac:dyDescent="0.2">
      <c r="A217">
        <v>2</v>
      </c>
      <c r="B217">
        <v>1207</v>
      </c>
      <c r="C217" s="675" t="str">
        <f t="shared" si="4"/>
        <v>2/1207</v>
      </c>
      <c r="D217" s="674">
        <v>233800</v>
      </c>
    </row>
    <row r="218" spans="1:4" x14ac:dyDescent="0.2">
      <c r="A218">
        <v>2</v>
      </c>
      <c r="B218">
        <v>1208</v>
      </c>
      <c r="C218" s="675" t="str">
        <f t="shared" si="4"/>
        <v>2/1208</v>
      </c>
      <c r="D218" s="674">
        <v>237800</v>
      </c>
    </row>
    <row r="219" spans="1:4" x14ac:dyDescent="0.2">
      <c r="A219">
        <v>2</v>
      </c>
      <c r="B219">
        <v>1301</v>
      </c>
      <c r="C219" s="675" t="str">
        <f t="shared" si="4"/>
        <v>2/1301</v>
      </c>
      <c r="D219" s="674">
        <v>237800</v>
      </c>
    </row>
    <row r="220" spans="1:4" x14ac:dyDescent="0.2">
      <c r="A220">
        <v>2</v>
      </c>
      <c r="B220">
        <v>1302</v>
      </c>
      <c r="C220" s="675" t="str">
        <f t="shared" si="4"/>
        <v>2/1302</v>
      </c>
      <c r="D220" s="674">
        <v>233800</v>
      </c>
    </row>
    <row r="221" spans="1:4" x14ac:dyDescent="0.2">
      <c r="A221">
        <v>2</v>
      </c>
      <c r="B221">
        <v>1303</v>
      </c>
      <c r="C221" s="675" t="str">
        <f t="shared" si="4"/>
        <v>2/1303</v>
      </c>
      <c r="D221" s="674">
        <v>229200</v>
      </c>
    </row>
    <row r="222" spans="1:4" x14ac:dyDescent="0.2">
      <c r="A222">
        <v>2</v>
      </c>
      <c r="B222">
        <v>1304</v>
      </c>
      <c r="C222" s="675" t="str">
        <f t="shared" si="4"/>
        <v>2/1304</v>
      </c>
      <c r="D222" s="674">
        <v>233000</v>
      </c>
    </row>
    <row r="223" spans="1:4" x14ac:dyDescent="0.2">
      <c r="A223">
        <v>2</v>
      </c>
      <c r="B223">
        <v>1305</v>
      </c>
      <c r="C223" s="675" t="str">
        <f t="shared" si="4"/>
        <v>2/1305</v>
      </c>
      <c r="D223" s="674">
        <v>233000</v>
      </c>
    </row>
    <row r="224" spans="1:4" x14ac:dyDescent="0.2">
      <c r="A224">
        <v>2</v>
      </c>
      <c r="B224">
        <v>1306</v>
      </c>
      <c r="C224" s="675" t="str">
        <f t="shared" si="4"/>
        <v>2/1306</v>
      </c>
      <c r="D224" s="674">
        <v>229200</v>
      </c>
    </row>
    <row r="225" spans="1:4" x14ac:dyDescent="0.2">
      <c r="A225">
        <v>2</v>
      </c>
      <c r="B225">
        <v>1307</v>
      </c>
      <c r="C225" s="675" t="str">
        <f t="shared" si="4"/>
        <v>2/1307</v>
      </c>
      <c r="D225" s="674">
        <v>233800</v>
      </c>
    </row>
    <row r="226" spans="1:4" x14ac:dyDescent="0.2">
      <c r="A226">
        <v>2</v>
      </c>
      <c r="B226">
        <v>1308</v>
      </c>
      <c r="C226" s="675" t="str">
        <f t="shared" si="4"/>
        <v>2/1308</v>
      </c>
      <c r="D226" s="674">
        <v>237800</v>
      </c>
    </row>
    <row r="227" spans="1:4" x14ac:dyDescent="0.2">
      <c r="A227">
        <v>2</v>
      </c>
      <c r="B227">
        <v>1401</v>
      </c>
      <c r="C227" s="675" t="str">
        <f t="shared" si="4"/>
        <v>2/1401</v>
      </c>
      <c r="D227" s="674">
        <v>239000</v>
      </c>
    </row>
    <row r="228" spans="1:4" x14ac:dyDescent="0.2">
      <c r="A228">
        <v>2</v>
      </c>
      <c r="B228">
        <v>1402</v>
      </c>
      <c r="C228" s="675" t="str">
        <f t="shared" si="4"/>
        <v>2/1402</v>
      </c>
      <c r="D228" s="674">
        <v>235000</v>
      </c>
    </row>
    <row r="229" spans="1:4" x14ac:dyDescent="0.2">
      <c r="A229">
        <v>2</v>
      </c>
      <c r="B229">
        <v>1403</v>
      </c>
      <c r="C229" s="675" t="str">
        <f t="shared" si="4"/>
        <v>2/1403</v>
      </c>
      <c r="D229" s="674">
        <v>230300</v>
      </c>
    </row>
    <row r="230" spans="1:4" x14ac:dyDescent="0.2">
      <c r="A230">
        <v>2</v>
      </c>
      <c r="B230">
        <v>1404</v>
      </c>
      <c r="C230" s="675" t="str">
        <f t="shared" si="4"/>
        <v>2/1404</v>
      </c>
      <c r="D230" s="674">
        <v>234200</v>
      </c>
    </row>
    <row r="231" spans="1:4" x14ac:dyDescent="0.2">
      <c r="A231">
        <v>2</v>
      </c>
      <c r="B231">
        <v>1405</v>
      </c>
      <c r="C231" s="675" t="str">
        <f t="shared" si="4"/>
        <v>2/1405</v>
      </c>
      <c r="D231" s="674">
        <v>234200</v>
      </c>
    </row>
    <row r="232" spans="1:4" x14ac:dyDescent="0.2">
      <c r="A232">
        <v>2</v>
      </c>
      <c r="B232">
        <v>1406</v>
      </c>
      <c r="C232" s="675" t="str">
        <f t="shared" si="4"/>
        <v>2/1406</v>
      </c>
      <c r="D232" s="674">
        <v>230300</v>
      </c>
    </row>
    <row r="233" spans="1:4" x14ac:dyDescent="0.2">
      <c r="A233">
        <v>2</v>
      </c>
      <c r="B233">
        <v>1407</v>
      </c>
      <c r="C233" s="675" t="str">
        <f t="shared" si="4"/>
        <v>2/1407</v>
      </c>
      <c r="D233" s="674">
        <v>235000</v>
      </c>
    </row>
    <row r="234" spans="1:4" x14ac:dyDescent="0.2">
      <c r="A234">
        <v>2</v>
      </c>
      <c r="B234">
        <v>1408</v>
      </c>
      <c r="C234" s="675" t="str">
        <f t="shared" si="4"/>
        <v>2/1408</v>
      </c>
      <c r="D234" s="674">
        <v>239000</v>
      </c>
    </row>
    <row r="235" spans="1:4" x14ac:dyDescent="0.2">
      <c r="A235">
        <v>2</v>
      </c>
      <c r="B235">
        <v>1501</v>
      </c>
      <c r="C235" s="675" t="str">
        <f t="shared" si="4"/>
        <v>2/1501</v>
      </c>
      <c r="D235" s="674">
        <v>239000</v>
      </c>
    </row>
    <row r="236" spans="1:4" x14ac:dyDescent="0.2">
      <c r="A236">
        <v>2</v>
      </c>
      <c r="B236">
        <v>1502</v>
      </c>
      <c r="C236" s="675" t="str">
        <f t="shared" si="4"/>
        <v>2/1502</v>
      </c>
      <c r="D236" s="674">
        <v>225000</v>
      </c>
    </row>
    <row r="237" spans="1:4" x14ac:dyDescent="0.2">
      <c r="A237">
        <v>2</v>
      </c>
      <c r="B237">
        <v>1503</v>
      </c>
      <c r="C237" s="675" t="str">
        <f t="shared" si="4"/>
        <v>2/1503</v>
      </c>
      <c r="D237" s="674">
        <v>225000</v>
      </c>
    </row>
    <row r="238" spans="1:4" x14ac:dyDescent="0.2">
      <c r="A238">
        <v>2</v>
      </c>
      <c r="B238">
        <v>1504</v>
      </c>
      <c r="C238" s="675" t="str">
        <f t="shared" si="4"/>
        <v>2/1504</v>
      </c>
      <c r="D238" s="674">
        <v>234200</v>
      </c>
    </row>
    <row r="239" spans="1:4" x14ac:dyDescent="0.2">
      <c r="A239">
        <v>2</v>
      </c>
      <c r="B239">
        <v>1505</v>
      </c>
      <c r="C239" s="675" t="str">
        <f t="shared" si="4"/>
        <v>2/1505</v>
      </c>
      <c r="D239" s="674">
        <v>234200</v>
      </c>
    </row>
    <row r="240" spans="1:4" x14ac:dyDescent="0.2">
      <c r="A240">
        <v>2</v>
      </c>
      <c r="B240">
        <v>1506</v>
      </c>
      <c r="C240" s="675" t="str">
        <f t="shared" si="4"/>
        <v>2/1506</v>
      </c>
      <c r="D240" s="674">
        <v>225000</v>
      </c>
    </row>
    <row r="241" spans="1:4" x14ac:dyDescent="0.2">
      <c r="A241">
        <v>2</v>
      </c>
      <c r="B241">
        <v>1507</v>
      </c>
      <c r="C241" s="675" t="str">
        <f t="shared" si="4"/>
        <v>2/1507</v>
      </c>
      <c r="D241" s="674">
        <v>225000</v>
      </c>
    </row>
    <row r="242" spans="1:4" x14ac:dyDescent="0.2">
      <c r="A242">
        <v>2</v>
      </c>
      <c r="B242">
        <v>1508</v>
      </c>
      <c r="C242" s="675" t="str">
        <f t="shared" si="4"/>
        <v>2/1508</v>
      </c>
      <c r="D242" s="674">
        <v>239000</v>
      </c>
    </row>
  </sheetData>
  <sheetProtection password="FC71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14</vt:i4>
      </vt:variant>
    </vt:vector>
  </HeadingPairs>
  <TitlesOfParts>
    <vt:vector size="27" baseType="lpstr">
      <vt:lpstr>Apoio</vt:lpstr>
      <vt:lpstr>fluxos</vt:lpstr>
      <vt:lpstr>Simulador CEF</vt:lpstr>
      <vt:lpstr>Premissas e Calculos</vt:lpstr>
      <vt:lpstr>Proposta 1 Via</vt:lpstr>
      <vt:lpstr>Meses</vt:lpstr>
      <vt:lpstr>DADOS DOS EMPREENDIMENTOS</vt:lpstr>
      <vt:lpstr>Plan1</vt:lpstr>
      <vt:lpstr>Plan2</vt:lpstr>
      <vt:lpstr>Plan3</vt:lpstr>
      <vt:lpstr>Plan4</vt:lpstr>
      <vt:lpstr>Plan6</vt:lpstr>
      <vt:lpstr>Plan5</vt:lpstr>
      <vt:lpstr>Apoio!Area_de_impressao</vt:lpstr>
      <vt:lpstr>'DADOS DOS EMPREENDIMENTOS'!Area_de_impressao</vt:lpstr>
      <vt:lpstr>'Premissas e Calculos'!Area_de_impressao</vt:lpstr>
      <vt:lpstr>'Proposta 1 Via'!Area_de_impressao</vt:lpstr>
      <vt:lpstr>'Simulador CEF'!Area_de_impressao</vt:lpstr>
      <vt:lpstr>INCC</vt:lpstr>
      <vt:lpstr>Mês</vt:lpstr>
      <vt:lpstr>OBRA_VGV</vt:lpstr>
      <vt:lpstr>SM</vt:lpstr>
      <vt:lpstr>SUB</vt:lpstr>
      <vt:lpstr>SUBMin</vt:lpstr>
      <vt:lpstr>'DADOS DOS EMPREENDIMENTOS'!Terreno_VGV</vt:lpstr>
      <vt:lpstr>VMI</vt:lpstr>
      <vt:lpstr>'DADOS DOS EMPREENDIMENTOS'!VP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</dc:creator>
  <cp:lastModifiedBy>Robson França</cp:lastModifiedBy>
  <cp:lastPrinted>2017-03-22T13:59:58Z</cp:lastPrinted>
  <dcterms:created xsi:type="dcterms:W3CDTF">2009-05-16T11:44:52Z</dcterms:created>
  <dcterms:modified xsi:type="dcterms:W3CDTF">2019-12-10T21:28:29Z</dcterms:modified>
</cp:coreProperties>
</file>