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R:\VENDAS\SECRETARIA DE VENDAS\LIVING\Empreendimentos\Exato Rio Grande\Simulador\2019\12.2019\"/>
    </mc:Choice>
  </mc:AlternateContent>
  <bookViews>
    <workbookView xWindow="0" yWindow="0" windowWidth="19200" windowHeight="10890" tabRatio="811" firstSheet="2" activeTab="2"/>
  </bookViews>
  <sheets>
    <sheet name="Apoio" sheetId="23" state="hidden" r:id="rId1"/>
    <sheet name="fluxos" sheetId="25" state="hidden" r:id="rId2"/>
    <sheet name="Simulador CEF" sheetId="22" r:id="rId3"/>
    <sheet name="Premissas e Calculos" sheetId="1" state="hidden" r:id="rId4"/>
    <sheet name="OBS" sheetId="33" state="hidden" r:id="rId5"/>
    <sheet name="Proposta 1 Via" sheetId="19" state="hidden" r:id="rId6"/>
    <sheet name="Meses" sheetId="13" state="hidden" r:id="rId7"/>
    <sheet name="DADOS DOS EMPREENDIMENTOS" sheetId="24" state="hidden" r:id="rId8"/>
    <sheet name="Plan1" sheetId="26" state="hidden" r:id="rId9"/>
    <sheet name="Plan2" sheetId="27" state="hidden" r:id="rId10"/>
    <sheet name="Plan3" sheetId="28" state="hidden" r:id="rId11"/>
    <sheet name="Plan4" sheetId="29" state="hidden" r:id="rId12"/>
    <sheet name="Plan6" sheetId="31" state="hidden" r:id="rId13"/>
    <sheet name="Plan5" sheetId="32" state="hidden" r:id="rId14"/>
  </sheets>
  <externalReferences>
    <externalReference r:id="rId15"/>
  </externalReferences>
  <definedNames>
    <definedName name="_xlnm._FilterDatabase" localSheetId="0" hidden="1">Apoio!$A$8:$J$243</definedName>
    <definedName name="_xlnm._FilterDatabase" localSheetId="9" hidden="1">Plan2!$A$3:$D$242</definedName>
    <definedName name="_xlnm._FilterDatabase" localSheetId="5" hidden="1">'Proposta 1 Via'!$A$1:$A$90</definedName>
    <definedName name="_xlnm.Print_Area" localSheetId="0">Apoio!$C$245:$E$289</definedName>
    <definedName name="_xlnm.Print_Area" localSheetId="7">'DADOS DOS EMPREENDIMENTOS'!$P$2:$R$16</definedName>
    <definedName name="_xlnm.Print_Area" localSheetId="3">'Premissas e Calculos'!$B$1:$D$8</definedName>
    <definedName name="_xlnm.Print_Area" localSheetId="5">'Proposta 1 Via'!$E$1:$M$89</definedName>
    <definedName name="_xlnm.Print_Area" localSheetId="2">'Simulador CEF'!$A$1:$W$140</definedName>
    <definedName name="comissao">#REF!</definedName>
    <definedName name="entrada240">#REF!</definedName>
    <definedName name="entrada300">#REF!</definedName>
    <definedName name="INCC">'Premissas e Calculos'!$G$15</definedName>
    <definedName name="INICIO_OBRA" localSheetId="7">'DADOS DOS EMPREENDIMENTOS'!#REF!</definedName>
    <definedName name="INICIO_OBRA">#REF!</definedName>
    <definedName name="Mês" localSheetId="0">#REF!</definedName>
    <definedName name="Mês" localSheetId="2">#REF!</definedName>
    <definedName name="Mês">Meses!$A$12:$B$65536</definedName>
    <definedName name="OBRA_VGV">'Premissas e Calculos'!$G$16</definedName>
    <definedName name="Prazo_Obra" localSheetId="7">'DADOS DOS EMPREENDIMENTOS'!#REF!</definedName>
    <definedName name="Prazo_Obra">#REF!</definedName>
    <definedName name="repasse240" localSheetId="2">#REF!</definedName>
    <definedName name="repasse240">#REF!</definedName>
    <definedName name="repasse300" localSheetId="2">#REF!</definedName>
    <definedName name="repasse300">#REF!</definedName>
    <definedName name="SM">'Premissas e Calculos'!$G$13</definedName>
    <definedName name="SUB">'Premissas e Calculos'!$G$4</definedName>
    <definedName name="SUBMin">'Premissas e Calculos'!$G$5</definedName>
    <definedName name="Terreno_VGV" localSheetId="7">'DADOS DOS EMPREENDIMENTOS'!$V$9</definedName>
    <definedName name="Terreno_VGV">#REF!</definedName>
    <definedName name="VMI">'Premissas e Calculos'!$G$3</definedName>
    <definedName name="VP" localSheetId="7">'DADOS DOS EMPREENDIMENTOS'!$V$10</definedName>
    <definedName name="VP">#REF!</definedName>
  </definedNames>
  <calcPr calcId="162913"/>
</workbook>
</file>

<file path=xl/calcChain.xml><?xml version="1.0" encoding="utf-8"?>
<calcChain xmlns="http://schemas.openxmlformats.org/spreadsheetml/2006/main">
  <c r="J1" i="23" l="1"/>
  <c r="E76" i="22"/>
  <c r="E18" i="19" l="1"/>
  <c r="E19" i="19"/>
  <c r="O9" i="1" l="1"/>
  <c r="L14" i="1"/>
  <c r="I12" i="22" l="1"/>
  <c r="M64" i="22" l="1"/>
  <c r="G42" i="22"/>
  <c r="P72" i="22"/>
  <c r="C35" i="22" l="1"/>
  <c r="AP90" i="22" l="1"/>
  <c r="P76" i="22" l="1"/>
  <c r="P70" i="22"/>
  <c r="P68" i="22"/>
  <c r="P66" i="22"/>
  <c r="P64" i="22"/>
  <c r="S70" i="22" l="1"/>
  <c r="U41" i="22"/>
  <c r="B10" i="24" l="1"/>
  <c r="D10" i="23"/>
  <c r="H10" i="23" s="1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H70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G127" i="23"/>
  <c r="D127" i="23" s="1"/>
  <c r="D128" i="23"/>
  <c r="D129" i="23"/>
  <c r="D132" i="23"/>
  <c r="D133" i="23"/>
  <c r="D9" i="23" l="1"/>
  <c r="H47" i="23"/>
  <c r="H54" i="23"/>
  <c r="H55" i="23"/>
  <c r="H62" i="23"/>
  <c r="H63" i="23"/>
  <c r="H71" i="23"/>
  <c r="H78" i="23"/>
  <c r="H79" i="23"/>
  <c r="H86" i="23"/>
  <c r="H87" i="23"/>
  <c r="H94" i="23"/>
  <c r="H95" i="23"/>
  <c r="H102" i="23"/>
  <c r="H103" i="23"/>
  <c r="H110" i="23"/>
  <c r="H111" i="23"/>
  <c r="H112" i="23"/>
  <c r="H117" i="23"/>
  <c r="H118" i="23"/>
  <c r="H119" i="23"/>
  <c r="H126" i="23"/>
  <c r="H11" i="23" l="1"/>
  <c r="H13" i="23" l="1"/>
  <c r="D96" i="22" l="1"/>
  <c r="E37" i="22" l="1"/>
  <c r="S33" i="22" s="1"/>
  <c r="H14" i="23" l="1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8" i="23"/>
  <c r="H49" i="23"/>
  <c r="H50" i="23"/>
  <c r="H51" i="23"/>
  <c r="H52" i="23"/>
  <c r="H53" i="23"/>
  <c r="H56" i="23"/>
  <c r="H57" i="23"/>
  <c r="H58" i="23"/>
  <c r="H59" i="23"/>
  <c r="H60" i="23"/>
  <c r="H61" i="23"/>
  <c r="H64" i="23"/>
  <c r="H65" i="23"/>
  <c r="H66" i="23"/>
  <c r="H67" i="23"/>
  <c r="H68" i="23"/>
  <c r="H69" i="23"/>
  <c r="H72" i="23"/>
  <c r="H73" i="23"/>
  <c r="H74" i="23"/>
  <c r="H75" i="23"/>
  <c r="H76" i="23"/>
  <c r="H77" i="23"/>
  <c r="H80" i="23"/>
  <c r="H81" i="23"/>
  <c r="H82" i="23"/>
  <c r="H83" i="23"/>
  <c r="H84" i="23"/>
  <c r="H85" i="23"/>
  <c r="H88" i="23"/>
  <c r="H89" i="23"/>
  <c r="H90" i="23"/>
  <c r="H91" i="23"/>
  <c r="H92" i="23"/>
  <c r="H93" i="23"/>
  <c r="H96" i="23"/>
  <c r="H97" i="23"/>
  <c r="H98" i="23"/>
  <c r="H99" i="23"/>
  <c r="H100" i="23"/>
  <c r="H101" i="23"/>
  <c r="H104" i="23"/>
  <c r="H105" i="23"/>
  <c r="H106" i="23"/>
  <c r="H107" i="23"/>
  <c r="H108" i="23"/>
  <c r="H109" i="23"/>
  <c r="H113" i="23"/>
  <c r="H114" i="23"/>
  <c r="H115" i="23"/>
  <c r="H116" i="23"/>
  <c r="H120" i="23"/>
  <c r="H121" i="23"/>
  <c r="H122" i="23"/>
  <c r="H123" i="23"/>
  <c r="H124" i="23"/>
  <c r="H125" i="23"/>
  <c r="H127" i="23"/>
  <c r="H128" i="23"/>
  <c r="H129" i="23"/>
  <c r="H130" i="23"/>
  <c r="H131" i="23"/>
  <c r="H132" i="23"/>
  <c r="H133" i="23"/>
  <c r="H134" i="23"/>
  <c r="H12" i="23"/>
  <c r="B1" i="29" l="1"/>
  <c r="K83" i="22"/>
  <c r="C15" i="1"/>
  <c r="C16" i="1"/>
  <c r="C17" i="1"/>
  <c r="C14" i="1"/>
  <c r="I26" i="22"/>
  <c r="C125" i="27"/>
  <c r="C126" i="27"/>
  <c r="C127" i="27"/>
  <c r="C128" i="27"/>
  <c r="C129" i="27"/>
  <c r="C130" i="27"/>
  <c r="C131" i="27"/>
  <c r="C132" i="27"/>
  <c r="C133" i="27"/>
  <c r="C134" i="27"/>
  <c r="C135" i="27"/>
  <c r="C136" i="27"/>
  <c r="C137" i="27"/>
  <c r="C138" i="27"/>
  <c r="C139" i="27"/>
  <c r="C140" i="27"/>
  <c r="C141" i="27"/>
  <c r="C142" i="27"/>
  <c r="C143" i="27"/>
  <c r="C144" i="27"/>
  <c r="C145" i="27"/>
  <c r="C146" i="27"/>
  <c r="C147" i="27"/>
  <c r="C148" i="27"/>
  <c r="C149" i="27"/>
  <c r="C150" i="27"/>
  <c r="C151" i="27"/>
  <c r="C152" i="27"/>
  <c r="C153" i="27"/>
  <c r="C154" i="27"/>
  <c r="C155" i="27"/>
  <c r="C156" i="27"/>
  <c r="C157" i="27"/>
  <c r="C158" i="27"/>
  <c r="C159" i="27"/>
  <c r="C160" i="27"/>
  <c r="C161" i="27"/>
  <c r="C162" i="27"/>
  <c r="C163" i="27"/>
  <c r="C164" i="27"/>
  <c r="C165" i="27"/>
  <c r="C166" i="27"/>
  <c r="C167" i="27"/>
  <c r="C168" i="27"/>
  <c r="C169" i="27"/>
  <c r="C170" i="27"/>
  <c r="C171" i="27"/>
  <c r="C172" i="27"/>
  <c r="C173" i="27"/>
  <c r="C174" i="27"/>
  <c r="C175" i="27"/>
  <c r="C176" i="27"/>
  <c r="C177" i="27"/>
  <c r="C178" i="27"/>
  <c r="C179" i="27"/>
  <c r="C180" i="27"/>
  <c r="C181" i="27"/>
  <c r="C182" i="27"/>
  <c r="C183" i="27"/>
  <c r="C184" i="27"/>
  <c r="C185" i="27"/>
  <c r="C186" i="27"/>
  <c r="C187" i="27"/>
  <c r="C188" i="27"/>
  <c r="C189" i="27"/>
  <c r="C190" i="27"/>
  <c r="C191" i="27"/>
  <c r="C192" i="27"/>
  <c r="C193" i="27"/>
  <c r="C194" i="27"/>
  <c r="C195" i="27"/>
  <c r="C196" i="27"/>
  <c r="C197" i="27"/>
  <c r="C198" i="27"/>
  <c r="C199" i="27"/>
  <c r="C200" i="27"/>
  <c r="C201" i="27"/>
  <c r="C202" i="27"/>
  <c r="C203" i="27"/>
  <c r="C204" i="27"/>
  <c r="C205" i="27"/>
  <c r="C206" i="27"/>
  <c r="C207" i="27"/>
  <c r="C208" i="27"/>
  <c r="C209" i="27"/>
  <c r="C210" i="27"/>
  <c r="C211" i="27"/>
  <c r="C212" i="27"/>
  <c r="C213" i="27"/>
  <c r="C214" i="27"/>
  <c r="C215" i="27"/>
  <c r="C216" i="27"/>
  <c r="C217" i="27"/>
  <c r="C218" i="27"/>
  <c r="C219" i="27"/>
  <c r="C220" i="27"/>
  <c r="C221" i="27"/>
  <c r="C222" i="27"/>
  <c r="C223" i="27"/>
  <c r="C224" i="27"/>
  <c r="C225" i="27"/>
  <c r="C226" i="27"/>
  <c r="C227" i="27"/>
  <c r="C228" i="27"/>
  <c r="C229" i="27"/>
  <c r="C230" i="27"/>
  <c r="C231" i="27"/>
  <c r="C232" i="27"/>
  <c r="C233" i="27"/>
  <c r="C234" i="27"/>
  <c r="C235" i="27"/>
  <c r="C236" i="27"/>
  <c r="C237" i="27"/>
  <c r="C238" i="27"/>
  <c r="C239" i="27"/>
  <c r="C240" i="27"/>
  <c r="C241" i="27"/>
  <c r="C242" i="27"/>
  <c r="C12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C103" i="27"/>
  <c r="C104" i="27"/>
  <c r="C105" i="27"/>
  <c r="C106" i="27"/>
  <c r="C107" i="27"/>
  <c r="C108" i="27"/>
  <c r="C109" i="27"/>
  <c r="C110" i="27"/>
  <c r="C111" i="27"/>
  <c r="C112" i="27"/>
  <c r="C113" i="27"/>
  <c r="C114" i="27"/>
  <c r="C115" i="27"/>
  <c r="C116" i="27"/>
  <c r="C117" i="27"/>
  <c r="C118" i="27"/>
  <c r="C119" i="27"/>
  <c r="C120" i="27"/>
  <c r="C121" i="27"/>
  <c r="C122" i="27"/>
  <c r="C123" i="27"/>
  <c r="C4" i="27"/>
  <c r="E56" i="22"/>
  <c r="G38" i="1"/>
  <c r="D50" i="22"/>
  <c r="A50" i="22" s="1"/>
  <c r="E50" i="22"/>
  <c r="K74" i="22" s="1"/>
  <c r="HS50" i="22"/>
  <c r="HT50" i="22"/>
  <c r="HU50" i="22"/>
  <c r="D48" i="22"/>
  <c r="A48" i="22" s="1"/>
  <c r="E48" i="22"/>
  <c r="HS48" i="22"/>
  <c r="HT48" i="22"/>
  <c r="HU48" i="22"/>
  <c r="HS51" i="22"/>
  <c r="HT51" i="22"/>
  <c r="HU51" i="22"/>
  <c r="N9" i="1"/>
  <c r="V10" i="24"/>
  <c r="X17" i="24"/>
  <c r="X18" i="24"/>
  <c r="X19" i="24"/>
  <c r="X20" i="24"/>
  <c r="X21" i="24"/>
  <c r="X22" i="24"/>
  <c r="X23" i="24"/>
  <c r="X24" i="24"/>
  <c r="X25" i="24"/>
  <c r="X26" i="24"/>
  <c r="X16" i="24"/>
  <c r="N37" i="22"/>
  <c r="AC37" i="22" s="1"/>
  <c r="D42" i="22"/>
  <c r="A42" i="22" s="1"/>
  <c r="E42" i="22"/>
  <c r="D44" i="22"/>
  <c r="E44" i="22"/>
  <c r="D46" i="22"/>
  <c r="E46" i="22"/>
  <c r="D52" i="22"/>
  <c r="A52" i="22" s="1"/>
  <c r="E52" i="22"/>
  <c r="D54" i="22"/>
  <c r="A54" i="22" s="1"/>
  <c r="E54" i="22"/>
  <c r="D56" i="22"/>
  <c r="J6" i="1"/>
  <c r="P83" i="22"/>
  <c r="P79" i="22"/>
  <c r="AA20" i="22"/>
  <c r="P15" i="1" s="1"/>
  <c r="G32" i="1" s="1"/>
  <c r="IV89" i="22"/>
  <c r="IU89" i="22"/>
  <c r="J21" i="1"/>
  <c r="W4" i="1"/>
  <c r="F22" i="22"/>
  <c r="S79" i="22" s="1"/>
  <c r="E48" i="19"/>
  <c r="D26" i="22"/>
  <c r="HG10" i="22"/>
  <c r="K3" i="22"/>
  <c r="K94" i="22" s="1"/>
  <c r="I49" i="19"/>
  <c r="I48" i="19"/>
  <c r="P81" i="22"/>
  <c r="A81" i="22"/>
  <c r="A79" i="22"/>
  <c r="K12" i="24"/>
  <c r="G14" i="1"/>
  <c r="H14" i="1" s="1"/>
  <c r="P14" i="1"/>
  <c r="AB20" i="22"/>
  <c r="O3" i="1"/>
  <c r="J19" i="1" s="1"/>
  <c r="O8" i="1" s="1"/>
  <c r="F100" i="22"/>
  <c r="J8" i="24"/>
  <c r="P74" i="22"/>
  <c r="B1" i="25"/>
  <c r="B2" i="25" s="1"/>
  <c r="D23" i="19"/>
  <c r="D22" i="19"/>
  <c r="D21" i="19"/>
  <c r="D20" i="19"/>
  <c r="D19" i="19"/>
  <c r="D18" i="19"/>
  <c r="D17" i="19"/>
  <c r="AI155" i="22"/>
  <c r="I47" i="19"/>
  <c r="E47" i="19"/>
  <c r="A47" i="19" s="1"/>
  <c r="I46" i="19"/>
  <c r="I45" i="19"/>
  <c r="E45" i="19"/>
  <c r="A45" i="19" s="1"/>
  <c r="I44" i="19"/>
  <c r="E44" i="19"/>
  <c r="A44" i="19" s="1"/>
  <c r="I43" i="19"/>
  <c r="I42" i="19"/>
  <c r="E43" i="19"/>
  <c r="A43" i="19" s="1"/>
  <c r="E42" i="19"/>
  <c r="A42" i="19" s="1"/>
  <c r="M7" i="1"/>
  <c r="N7" i="1"/>
  <c r="HT18" i="22"/>
  <c r="B11" i="24"/>
  <c r="HT19" i="22" s="1"/>
  <c r="B12" i="24"/>
  <c r="HT20" i="22" s="1"/>
  <c r="B13" i="24"/>
  <c r="HT22" i="22" s="1"/>
  <c r="E23" i="19"/>
  <c r="A21" i="19" s="1"/>
  <c r="M24" i="19"/>
  <c r="M25" i="19"/>
  <c r="M26" i="19"/>
  <c r="M27" i="19"/>
  <c r="M28" i="19"/>
  <c r="M29" i="19"/>
  <c r="M30" i="19"/>
  <c r="M31" i="19"/>
  <c r="M32" i="19"/>
  <c r="M33" i="19"/>
  <c r="M34" i="19"/>
  <c r="E41" i="19"/>
  <c r="A41" i="19" s="1"/>
  <c r="I41" i="19"/>
  <c r="D42" i="19"/>
  <c r="D43" i="19"/>
  <c r="D44" i="19"/>
  <c r="E49" i="19"/>
  <c r="A49" i="19" s="1"/>
  <c r="M53" i="19"/>
  <c r="R53" i="19" s="1"/>
  <c r="M54" i="19"/>
  <c r="R54" i="19" s="1"/>
  <c r="M55" i="19"/>
  <c r="R55" i="19" s="1"/>
  <c r="M56" i="19"/>
  <c r="R56" i="19" s="1"/>
  <c r="M57" i="19"/>
  <c r="R57" i="19" s="1"/>
  <c r="M58" i="19"/>
  <c r="R58" i="19" s="1"/>
  <c r="M59" i="19"/>
  <c r="R59" i="19" s="1"/>
  <c r="M60" i="19"/>
  <c r="R60" i="19" s="1"/>
  <c r="M61" i="19"/>
  <c r="R61" i="19" s="1"/>
  <c r="HU54" i="22"/>
  <c r="HT54" i="22"/>
  <c r="HS54" i="22"/>
  <c r="O26" i="1"/>
  <c r="O28" i="1"/>
  <c r="O29" i="1"/>
  <c r="R29" i="1"/>
  <c r="R28" i="1"/>
  <c r="R27" i="1"/>
  <c r="O27" i="1"/>
  <c r="R26" i="1"/>
  <c r="R25" i="1"/>
  <c r="O25" i="1"/>
  <c r="R24" i="1"/>
  <c r="O24" i="1"/>
  <c r="R23" i="1"/>
  <c r="G5" i="19"/>
  <c r="A76" i="22"/>
  <c r="A85" i="22"/>
  <c r="D51" i="19"/>
  <c r="A51" i="19"/>
  <c r="R62" i="19"/>
  <c r="P85" i="22"/>
  <c r="P87" i="22"/>
  <c r="D50" i="19"/>
  <c r="A50" i="19"/>
  <c r="D48" i="19"/>
  <c r="D46" i="19"/>
  <c r="A74" i="22"/>
  <c r="A70" i="22"/>
  <c r="A68" i="22"/>
  <c r="A66" i="22"/>
  <c r="F11" i="24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G11" i="24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I12" i="24"/>
  <c r="N11" i="24"/>
  <c r="N12" i="24" s="1"/>
  <c r="N13" i="24" s="1"/>
  <c r="N14" i="24" s="1"/>
  <c r="N15" i="24" s="1"/>
  <c r="N16" i="24" s="1"/>
  <c r="N17" i="24" s="1"/>
  <c r="N18" i="24" s="1"/>
  <c r="N19" i="24" s="1"/>
  <c r="N20" i="24" s="1"/>
  <c r="N21" i="24" s="1"/>
  <c r="N22" i="24" s="1"/>
  <c r="N23" i="24" s="1"/>
  <c r="H10" i="24"/>
  <c r="H11" i="24" s="1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I14" i="24"/>
  <c r="M12" i="24"/>
  <c r="HG5" i="22"/>
  <c r="HG6" i="22"/>
  <c r="HG7" i="22"/>
  <c r="HG8" i="22"/>
  <c r="HG9" i="22"/>
  <c r="HG11" i="22"/>
  <c r="HG12" i="22"/>
  <c r="HG14" i="22"/>
  <c r="HG15" i="22"/>
  <c r="HG16" i="22"/>
  <c r="HG17" i="22"/>
  <c r="HG18" i="22"/>
  <c r="HG19" i="22"/>
  <c r="HG20" i="22"/>
  <c r="HG22" i="22"/>
  <c r="HG26" i="22"/>
  <c r="HG27" i="22"/>
  <c r="HG28" i="22"/>
  <c r="HG29" i="22"/>
  <c r="HG30" i="22"/>
  <c r="HG34" i="22"/>
  <c r="HG38" i="22"/>
  <c r="HG39" i="22"/>
  <c r="HG40" i="22"/>
  <c r="I23" i="24"/>
  <c r="I22" i="24"/>
  <c r="I21" i="24"/>
  <c r="I20" i="24"/>
  <c r="I19" i="24"/>
  <c r="I18" i="24"/>
  <c r="I17" i="24"/>
  <c r="I16" i="24"/>
  <c r="I15" i="24"/>
  <c r="I13" i="24"/>
  <c r="I11" i="24"/>
  <c r="I10" i="24"/>
  <c r="M11" i="24"/>
  <c r="M23" i="24"/>
  <c r="M22" i="24"/>
  <c r="M21" i="24"/>
  <c r="M20" i="24"/>
  <c r="M19" i="24"/>
  <c r="M18" i="24"/>
  <c r="M17" i="24"/>
  <c r="M16" i="24"/>
  <c r="M15" i="24"/>
  <c r="M14" i="24"/>
  <c r="M13" i="24"/>
  <c r="K23" i="24"/>
  <c r="K22" i="24"/>
  <c r="K21" i="24"/>
  <c r="K20" i="24"/>
  <c r="K19" i="24"/>
  <c r="K18" i="24"/>
  <c r="K17" i="24"/>
  <c r="K16" i="24"/>
  <c r="K15" i="24"/>
  <c r="J23" i="24"/>
  <c r="J22" i="24"/>
  <c r="J21" i="24"/>
  <c r="J20" i="24"/>
  <c r="J19" i="24"/>
  <c r="J18" i="24"/>
  <c r="J17" i="24"/>
  <c r="J16" i="24"/>
  <c r="J15" i="24"/>
  <c r="B23" i="24"/>
  <c r="HT38" i="22" s="1"/>
  <c r="B22" i="24"/>
  <c r="HT37" i="22" s="1"/>
  <c r="B21" i="24"/>
  <c r="HT36" i="22" s="1"/>
  <c r="B20" i="24"/>
  <c r="HT35" i="22" s="1"/>
  <c r="B19" i="24"/>
  <c r="HT34" i="22" s="1"/>
  <c r="B18" i="24"/>
  <c r="HT30" i="22" s="1"/>
  <c r="B17" i="24"/>
  <c r="HT29" i="22" s="1"/>
  <c r="B16" i="24"/>
  <c r="HT28" i="22" s="1"/>
  <c r="B15" i="24"/>
  <c r="HT27" i="22" s="1"/>
  <c r="B14" i="24"/>
  <c r="HT26" i="22" s="1"/>
  <c r="HS19" i="22"/>
  <c r="HU19" i="22"/>
  <c r="HS20" i="22"/>
  <c r="HU20" i="22"/>
  <c r="HS22" i="22"/>
  <c r="HU22" i="22"/>
  <c r="HS26" i="22"/>
  <c r="HU26" i="22"/>
  <c r="HS27" i="22"/>
  <c r="HU27" i="22"/>
  <c r="HS28" i="22"/>
  <c r="HU28" i="22"/>
  <c r="HS29" i="22"/>
  <c r="HU29" i="22"/>
  <c r="HS30" i="22"/>
  <c r="HU30" i="22"/>
  <c r="HS34" i="22"/>
  <c r="HU34" i="22"/>
  <c r="HS35" i="22"/>
  <c r="HU35" i="22"/>
  <c r="HS36" i="22"/>
  <c r="HU36" i="22"/>
  <c r="HS37" i="22"/>
  <c r="HU37" i="22"/>
  <c r="HS38" i="22"/>
  <c r="HU38" i="22"/>
  <c r="HS39" i="22"/>
  <c r="HT39" i="22"/>
  <c r="HU39" i="22"/>
  <c r="HS40" i="22"/>
  <c r="HT40" i="22"/>
  <c r="HU40" i="22"/>
  <c r="HS41" i="22"/>
  <c r="HT41" i="22"/>
  <c r="HU41" i="22"/>
  <c r="HS42" i="22"/>
  <c r="HT42" i="22"/>
  <c r="HU42" i="22"/>
  <c r="HS47" i="22"/>
  <c r="HT47" i="22"/>
  <c r="HU47" i="22"/>
  <c r="HS49" i="22"/>
  <c r="HT49" i="22"/>
  <c r="HU49" i="22"/>
  <c r="HS52" i="22"/>
  <c r="HT52" i="22"/>
  <c r="HU52" i="22"/>
  <c r="HS53" i="22"/>
  <c r="HT53" i="22"/>
  <c r="HU53" i="22"/>
  <c r="HS56" i="22"/>
  <c r="HT56" i="22"/>
  <c r="HU56" i="22"/>
  <c r="HS57" i="22"/>
  <c r="HT57" i="22"/>
  <c r="HU57" i="22"/>
  <c r="HS58" i="22"/>
  <c r="HT58" i="22"/>
  <c r="HU58" i="22"/>
  <c r="HS59" i="22"/>
  <c r="HT59" i="22"/>
  <c r="HU59" i="22"/>
  <c r="HS60" i="22"/>
  <c r="HT60" i="22"/>
  <c r="HU60" i="22"/>
  <c r="HS61" i="22"/>
  <c r="HT61" i="22"/>
  <c r="HU61" i="22"/>
  <c r="HS62" i="22"/>
  <c r="HT62" i="22"/>
  <c r="HU62" i="22"/>
  <c r="HS63" i="22"/>
  <c r="HT63" i="22"/>
  <c r="HU63" i="22"/>
  <c r="HU18" i="22"/>
  <c r="HS18" i="22"/>
  <c r="A87" i="22"/>
  <c r="D11" i="24"/>
  <c r="E11" i="24" s="1"/>
  <c r="AG42" i="24"/>
  <c r="AG43" i="24"/>
  <c r="AG44" i="24"/>
  <c r="AG45" i="24"/>
  <c r="AG46" i="24"/>
  <c r="AG47" i="24"/>
  <c r="AG48" i="24"/>
  <c r="AG49" i="24"/>
  <c r="AG50" i="24"/>
  <c r="AG51" i="24"/>
  <c r="AG52" i="24"/>
  <c r="AG53" i="24"/>
  <c r="AG54" i="24"/>
  <c r="AG55" i="24"/>
  <c r="AG56" i="24"/>
  <c r="AG57" i="24"/>
  <c r="AG58" i="24"/>
  <c r="AG59" i="24"/>
  <c r="AG60" i="24"/>
  <c r="AG61" i="24"/>
  <c r="AG62" i="24"/>
  <c r="AG63" i="24"/>
  <c r="AG64" i="24"/>
  <c r="HM34" i="22"/>
  <c r="HM35" i="22"/>
  <c r="HM17" i="22"/>
  <c r="HM18" i="22"/>
  <c r="HM19" i="22"/>
  <c r="HM20" i="22"/>
  <c r="HM21" i="22"/>
  <c r="HM26" i="22"/>
  <c r="HM27" i="22"/>
  <c r="HM28" i="22"/>
  <c r="HM29" i="22"/>
  <c r="HM30" i="22"/>
  <c r="AE155" i="22"/>
  <c r="A83" i="22"/>
  <c r="AG155" i="22"/>
  <c r="AG156" i="22" s="1"/>
  <c r="AH156" i="22" s="1"/>
  <c r="AC155" i="22"/>
  <c r="AG65" i="24"/>
  <c r="A64" i="22"/>
  <c r="AL156" i="22" s="1"/>
  <c r="S117" i="22"/>
  <c r="AH117" i="22"/>
  <c r="AG66" i="24"/>
  <c r="AG67" i="24"/>
  <c r="IP90" i="22"/>
  <c r="IP91" i="22" s="1"/>
  <c r="IP92" i="22" s="1"/>
  <c r="IP93" i="22" s="1"/>
  <c r="M35" i="19"/>
  <c r="M10" i="24"/>
  <c r="AG68" i="24"/>
  <c r="AG69" i="24"/>
  <c r="AG70" i="24"/>
  <c r="AG71" i="24"/>
  <c r="AG72" i="24"/>
  <c r="AG73" i="24"/>
  <c r="AG74" i="24"/>
  <c r="AG75" i="24"/>
  <c r="AG76" i="24"/>
  <c r="AG77" i="24"/>
  <c r="AG78" i="24"/>
  <c r="AG79" i="24"/>
  <c r="AG80" i="24"/>
  <c r="AG81" i="24"/>
  <c r="E10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/>
  <c r="CE68" i="24"/>
  <c r="CE67" i="24"/>
  <c r="CE66" i="24"/>
  <c r="CE65" i="24"/>
  <c r="CE64" i="24"/>
  <c r="CE63" i="24"/>
  <c r="CE62" i="24"/>
  <c r="CE61" i="24"/>
  <c r="CE60" i="24"/>
  <c r="CE59" i="24"/>
  <c r="CE58" i="24"/>
  <c r="CE57" i="24"/>
  <c r="CE56" i="24"/>
  <c r="CE55" i="24"/>
  <c r="CE54" i="24"/>
  <c r="CE53" i="24"/>
  <c r="CE52" i="24"/>
  <c r="CE51" i="24"/>
  <c r="CE50" i="24"/>
  <c r="CE49" i="24"/>
  <c r="CE48" i="24"/>
  <c r="CE47" i="24"/>
  <c r="CE46" i="24"/>
  <c r="CE45" i="24"/>
  <c r="CE44" i="24"/>
  <c r="CE43" i="24"/>
  <c r="CE42" i="24"/>
  <c r="BZ81" i="24"/>
  <c r="BZ80" i="24"/>
  <c r="BZ79" i="24"/>
  <c r="BZ78" i="24"/>
  <c r="BZ77" i="24"/>
  <c r="BZ76" i="24"/>
  <c r="BZ75" i="24"/>
  <c r="BZ74" i="24"/>
  <c r="BZ73" i="24"/>
  <c r="BZ72" i="24"/>
  <c r="BZ71" i="24"/>
  <c r="BZ70" i="24"/>
  <c r="BZ69" i="24"/>
  <c r="BZ68" i="24"/>
  <c r="BZ67" i="24"/>
  <c r="BZ66" i="24"/>
  <c r="BZ65" i="24"/>
  <c r="BZ64" i="24"/>
  <c r="BZ63" i="24"/>
  <c r="BZ62" i="24"/>
  <c r="BZ61" i="24"/>
  <c r="BZ60" i="24"/>
  <c r="BZ59" i="24"/>
  <c r="BZ58" i="24"/>
  <c r="BZ57" i="24"/>
  <c r="BZ56" i="24"/>
  <c r="BZ55" i="24"/>
  <c r="BZ54" i="24"/>
  <c r="BZ53" i="24"/>
  <c r="BZ52" i="24"/>
  <c r="BZ51" i="24"/>
  <c r="BZ50" i="24"/>
  <c r="BZ49" i="24"/>
  <c r="BZ48" i="24"/>
  <c r="BZ47" i="24"/>
  <c r="BZ46" i="24"/>
  <c r="BZ45" i="24"/>
  <c r="BZ44" i="24"/>
  <c r="BZ43" i="24"/>
  <c r="BZ42" i="24"/>
  <c r="BU81" i="24"/>
  <c r="BU80" i="24"/>
  <c r="BU79" i="24"/>
  <c r="BU78" i="24"/>
  <c r="BU77" i="24"/>
  <c r="BU76" i="24"/>
  <c r="BU75" i="24"/>
  <c r="BU74" i="24"/>
  <c r="BU73" i="24"/>
  <c r="BU72" i="24"/>
  <c r="BU71" i="24"/>
  <c r="BU70" i="24"/>
  <c r="BU69" i="24"/>
  <c r="BU68" i="24"/>
  <c r="BU67" i="24"/>
  <c r="BU66" i="24"/>
  <c r="BU65" i="24"/>
  <c r="BU64" i="24"/>
  <c r="BU63" i="24"/>
  <c r="BU62" i="24"/>
  <c r="BU61" i="24"/>
  <c r="BU60" i="24"/>
  <c r="BU59" i="24"/>
  <c r="BU58" i="24"/>
  <c r="BU57" i="24"/>
  <c r="BU56" i="24"/>
  <c r="BU55" i="24"/>
  <c r="BU54" i="24"/>
  <c r="BU53" i="24"/>
  <c r="BU52" i="24"/>
  <c r="BU51" i="24"/>
  <c r="BU50" i="24"/>
  <c r="BU49" i="24"/>
  <c r="BU48" i="24"/>
  <c r="BU47" i="24"/>
  <c r="BU46" i="24"/>
  <c r="BU45" i="24"/>
  <c r="BU44" i="24"/>
  <c r="BU43" i="24"/>
  <c r="BU42" i="24"/>
  <c r="BP81" i="24"/>
  <c r="BP80" i="24"/>
  <c r="BP79" i="24"/>
  <c r="BP78" i="24"/>
  <c r="BP77" i="24"/>
  <c r="BP76" i="24"/>
  <c r="BP75" i="24"/>
  <c r="BP74" i="24"/>
  <c r="BP73" i="24"/>
  <c r="BP72" i="24"/>
  <c r="BP71" i="24"/>
  <c r="BP70" i="24"/>
  <c r="BP69" i="24"/>
  <c r="BP68" i="24"/>
  <c r="BP67" i="24"/>
  <c r="BP66" i="24"/>
  <c r="BP65" i="24"/>
  <c r="BP64" i="24"/>
  <c r="BP63" i="24"/>
  <c r="BP62" i="24"/>
  <c r="BP61" i="24"/>
  <c r="BP60" i="24"/>
  <c r="BP59" i="24"/>
  <c r="BP58" i="24"/>
  <c r="BP57" i="24"/>
  <c r="BP56" i="24"/>
  <c r="BP55" i="24"/>
  <c r="BP54" i="24"/>
  <c r="BP53" i="24"/>
  <c r="BP52" i="24"/>
  <c r="BP51" i="24"/>
  <c r="BP50" i="24"/>
  <c r="BP49" i="24"/>
  <c r="BP48" i="24"/>
  <c r="BP47" i="24"/>
  <c r="BP46" i="24"/>
  <c r="BP45" i="24"/>
  <c r="BP44" i="24"/>
  <c r="BP43" i="24"/>
  <c r="BP42" i="24"/>
  <c r="BK81" i="24"/>
  <c r="BK80" i="24"/>
  <c r="BK79" i="24"/>
  <c r="BK78" i="24"/>
  <c r="BK77" i="24"/>
  <c r="BK76" i="24"/>
  <c r="BK75" i="24"/>
  <c r="BK74" i="24"/>
  <c r="BK73" i="24"/>
  <c r="BK72" i="24"/>
  <c r="BK71" i="24"/>
  <c r="BK70" i="24"/>
  <c r="BK69" i="24"/>
  <c r="BK68" i="24"/>
  <c r="BK67" i="24"/>
  <c r="BK66" i="24"/>
  <c r="BK65" i="24"/>
  <c r="BK64" i="24"/>
  <c r="BK63" i="24"/>
  <c r="BK62" i="24"/>
  <c r="BK61" i="24"/>
  <c r="BK60" i="24"/>
  <c r="BK59" i="24"/>
  <c r="BK58" i="24"/>
  <c r="BK57" i="24"/>
  <c r="BK56" i="24"/>
  <c r="BK55" i="24"/>
  <c r="BK54" i="24"/>
  <c r="BK53" i="24"/>
  <c r="BK52" i="24"/>
  <c r="BK51" i="24"/>
  <c r="BK50" i="24"/>
  <c r="BK49" i="24"/>
  <c r="BK48" i="24"/>
  <c r="BK47" i="24"/>
  <c r="BK46" i="24"/>
  <c r="BK45" i="24"/>
  <c r="BK44" i="24"/>
  <c r="BK43" i="24"/>
  <c r="BK42" i="24"/>
  <c r="BF81" i="24"/>
  <c r="BF80" i="24"/>
  <c r="BF79" i="24"/>
  <c r="BF78" i="24"/>
  <c r="BF77" i="24"/>
  <c r="BF76" i="24"/>
  <c r="BF75" i="24"/>
  <c r="BF74" i="24"/>
  <c r="BF73" i="24"/>
  <c r="BF72" i="24"/>
  <c r="BF71" i="24"/>
  <c r="BF70" i="24"/>
  <c r="BF69" i="24"/>
  <c r="BF68" i="24"/>
  <c r="BF67" i="24"/>
  <c r="BF66" i="24"/>
  <c r="BF65" i="24"/>
  <c r="BF64" i="24"/>
  <c r="BF63" i="24"/>
  <c r="BF62" i="24"/>
  <c r="BF61" i="24"/>
  <c r="BF60" i="24"/>
  <c r="BF59" i="24"/>
  <c r="BF58" i="24"/>
  <c r="BF57" i="24"/>
  <c r="BF56" i="24"/>
  <c r="BF55" i="24"/>
  <c r="BF54" i="24"/>
  <c r="BF53" i="24"/>
  <c r="BF52" i="24"/>
  <c r="BF51" i="24"/>
  <c r="BF50" i="24"/>
  <c r="BF49" i="24"/>
  <c r="BF48" i="24"/>
  <c r="BF47" i="24"/>
  <c r="BF46" i="24"/>
  <c r="BF45" i="24"/>
  <c r="BF44" i="24"/>
  <c r="BF43" i="24"/>
  <c r="BF42" i="24"/>
  <c r="BA81" i="24"/>
  <c r="BA80" i="24"/>
  <c r="BA79" i="24"/>
  <c r="BA78" i="24"/>
  <c r="BA77" i="24"/>
  <c r="BA76" i="24"/>
  <c r="BA75" i="24"/>
  <c r="BA74" i="24"/>
  <c r="BA73" i="24"/>
  <c r="BA72" i="24"/>
  <c r="BA71" i="24"/>
  <c r="BA70" i="24"/>
  <c r="BA69" i="24"/>
  <c r="BA68" i="24"/>
  <c r="BA67" i="24"/>
  <c r="BA66" i="24"/>
  <c r="BA65" i="24"/>
  <c r="BA64" i="24"/>
  <c r="BA63" i="24"/>
  <c r="BA62" i="24"/>
  <c r="BA61" i="24"/>
  <c r="BA60" i="24"/>
  <c r="BA59" i="24"/>
  <c r="BA58" i="24"/>
  <c r="BA57" i="24"/>
  <c r="BA56" i="24"/>
  <c r="BA55" i="24"/>
  <c r="BA54" i="24"/>
  <c r="BA53" i="24"/>
  <c r="BA52" i="24"/>
  <c r="BA51" i="24"/>
  <c r="BA50" i="24"/>
  <c r="BA49" i="24"/>
  <c r="BA48" i="24"/>
  <c r="BA47" i="24"/>
  <c r="BA46" i="24"/>
  <c r="BA45" i="24"/>
  <c r="BA44" i="24"/>
  <c r="BA43" i="24"/>
  <c r="BA42" i="24"/>
  <c r="AV81" i="24"/>
  <c r="AV80" i="24"/>
  <c r="AV79" i="24"/>
  <c r="AV78" i="24"/>
  <c r="AV77" i="24"/>
  <c r="AV76" i="24"/>
  <c r="AV75" i="24"/>
  <c r="AV74" i="24"/>
  <c r="AV73" i="24"/>
  <c r="AV72" i="24"/>
  <c r="AV71" i="24"/>
  <c r="AV70" i="24"/>
  <c r="AV69" i="24"/>
  <c r="AV68" i="24"/>
  <c r="AV67" i="24"/>
  <c r="AV66" i="24"/>
  <c r="AV65" i="24"/>
  <c r="AV64" i="24"/>
  <c r="AV63" i="24"/>
  <c r="AV62" i="24"/>
  <c r="AV61" i="24"/>
  <c r="AV60" i="24"/>
  <c r="AV59" i="24"/>
  <c r="AV58" i="24"/>
  <c r="AV57" i="24"/>
  <c r="AV56" i="24"/>
  <c r="AV55" i="24"/>
  <c r="AV54" i="24"/>
  <c r="AV53" i="24"/>
  <c r="AV52" i="24"/>
  <c r="AV51" i="24"/>
  <c r="AV50" i="24"/>
  <c r="AV49" i="24"/>
  <c r="AV48" i="24"/>
  <c r="AV47" i="24"/>
  <c r="AV46" i="24"/>
  <c r="AV45" i="24"/>
  <c r="AV44" i="24"/>
  <c r="AV43" i="24"/>
  <c r="AV42" i="24"/>
  <c r="AQ81" i="24"/>
  <c r="AQ80" i="24"/>
  <c r="AQ79" i="24"/>
  <c r="AQ78" i="24"/>
  <c r="AQ77" i="24"/>
  <c r="AQ76" i="24"/>
  <c r="AQ75" i="24"/>
  <c r="AQ74" i="24"/>
  <c r="AQ73" i="24"/>
  <c r="AQ72" i="24"/>
  <c r="AQ71" i="24"/>
  <c r="AQ70" i="24"/>
  <c r="AQ69" i="24"/>
  <c r="AQ68" i="24"/>
  <c r="AQ67" i="24"/>
  <c r="AQ66" i="24"/>
  <c r="AQ65" i="24"/>
  <c r="AQ64" i="24"/>
  <c r="AQ63" i="24"/>
  <c r="AQ62" i="24"/>
  <c r="AQ61" i="24"/>
  <c r="AQ60" i="24"/>
  <c r="AQ59" i="24"/>
  <c r="AQ58" i="24"/>
  <c r="AQ57" i="24"/>
  <c r="AQ56" i="24"/>
  <c r="AQ55" i="24"/>
  <c r="AQ54" i="24"/>
  <c r="AQ53" i="24"/>
  <c r="AQ52" i="24"/>
  <c r="AQ51" i="24"/>
  <c r="AQ50" i="24"/>
  <c r="AQ49" i="24"/>
  <c r="AQ48" i="24"/>
  <c r="AQ47" i="24"/>
  <c r="AQ46" i="24"/>
  <c r="AQ45" i="24"/>
  <c r="AQ44" i="24"/>
  <c r="AQ43" i="24"/>
  <c r="AQ42" i="24"/>
  <c r="AL81" i="24"/>
  <c r="AL80" i="24"/>
  <c r="AL79" i="24"/>
  <c r="AL78" i="24"/>
  <c r="AL77" i="24"/>
  <c r="AL76" i="24"/>
  <c r="AL75" i="24"/>
  <c r="AL74" i="24"/>
  <c r="AL73" i="24"/>
  <c r="AL72" i="24"/>
  <c r="AL71" i="24"/>
  <c r="AL70" i="24"/>
  <c r="AL69" i="24"/>
  <c r="AL68" i="24"/>
  <c r="AL67" i="24"/>
  <c r="AL66" i="24"/>
  <c r="AL65" i="24"/>
  <c r="AL64" i="24"/>
  <c r="AL63" i="24"/>
  <c r="AL62" i="24"/>
  <c r="AL61" i="24"/>
  <c r="AL60" i="24"/>
  <c r="AL59" i="24"/>
  <c r="AL58" i="24"/>
  <c r="AL57" i="24"/>
  <c r="AL56" i="24"/>
  <c r="AL55" i="24"/>
  <c r="AL54" i="24"/>
  <c r="AL53" i="24"/>
  <c r="AL52" i="24"/>
  <c r="AL51" i="24"/>
  <c r="AL50" i="24"/>
  <c r="AL49" i="24"/>
  <c r="AL48" i="24"/>
  <c r="AL47" i="24"/>
  <c r="AL46" i="24"/>
  <c r="AL45" i="24"/>
  <c r="AL44" i="24"/>
  <c r="AL43" i="24"/>
  <c r="AL42" i="24"/>
  <c r="HS12" i="22"/>
  <c r="HM4" i="22"/>
  <c r="HM5" i="22"/>
  <c r="HN5" i="22"/>
  <c r="HP5" i="22"/>
  <c r="HM6" i="22"/>
  <c r="HN6" i="22"/>
  <c r="HM7" i="22"/>
  <c r="HN7" i="22"/>
  <c r="HO7" i="22"/>
  <c r="HM8" i="22"/>
  <c r="HM9" i="22"/>
  <c r="HN9" i="22"/>
  <c r="HO9" i="22"/>
  <c r="HP9" i="22"/>
  <c r="HN12" i="22"/>
  <c r="HO12" i="22"/>
  <c r="HP12" i="22"/>
  <c r="HM16" i="22"/>
  <c r="HM89" i="22"/>
  <c r="HN89" i="22"/>
  <c r="HO89" i="22"/>
  <c r="HP89" i="22"/>
  <c r="HM90" i="22"/>
  <c r="HM92" i="22"/>
  <c r="HN92" i="22"/>
  <c r="HP92" i="22"/>
  <c r="HM93" i="22"/>
  <c r="HN93" i="22"/>
  <c r="HM94" i="22"/>
  <c r="HN94" i="22"/>
  <c r="HO94" i="22"/>
  <c r="HP94" i="22"/>
  <c r="HM96" i="22"/>
  <c r="HN96" i="22"/>
  <c r="HO96" i="22"/>
  <c r="HP96" i="22"/>
  <c r="HM97" i="22"/>
  <c r="HP97" i="22"/>
  <c r="HM100" i="22"/>
  <c r="HM101" i="22"/>
  <c r="HM102" i="22"/>
  <c r="HM103" i="22"/>
  <c r="HM104" i="22"/>
  <c r="HM105" i="22"/>
  <c r="HM106" i="22"/>
  <c r="HM107" i="22"/>
  <c r="HM108" i="22"/>
  <c r="HM109" i="22"/>
  <c r="HM110" i="22"/>
  <c r="HM111" i="22"/>
  <c r="HM113" i="22"/>
  <c r="HM114" i="22"/>
  <c r="HM115" i="22"/>
  <c r="HM116" i="22"/>
  <c r="HM117" i="22"/>
  <c r="HM118" i="22"/>
  <c r="HM119" i="22"/>
  <c r="HM120" i="22"/>
  <c r="HM121" i="22"/>
  <c r="HM122" i="22"/>
  <c r="HM123" i="22"/>
  <c r="HM124" i="22"/>
  <c r="HM125" i="22"/>
  <c r="HM127" i="22"/>
  <c r="HM128" i="22"/>
  <c r="HM129" i="22"/>
  <c r="HM130" i="22"/>
  <c r="HM131" i="22"/>
  <c r="HM132" i="22"/>
  <c r="HM133" i="22"/>
  <c r="HM135" i="22"/>
  <c r="HM136" i="22"/>
  <c r="HM137" i="22"/>
  <c r="HM138" i="22"/>
  <c r="HM139" i="22"/>
  <c r="HM140" i="22"/>
  <c r="HM141" i="22"/>
  <c r="H19" i="1"/>
  <c r="H16" i="1"/>
  <c r="H15" i="1"/>
  <c r="H13" i="1"/>
  <c r="H12" i="1"/>
  <c r="H11" i="1"/>
  <c r="L6" i="1"/>
  <c r="IT30" i="22"/>
  <c r="IS30" i="22"/>
  <c r="IR30" i="22"/>
  <c r="IT29" i="22"/>
  <c r="IS29" i="22"/>
  <c r="IT28" i="22"/>
  <c r="IS28" i="22"/>
  <c r="IR28" i="22"/>
  <c r="IR29" i="22"/>
  <c r="L7" i="1"/>
  <c r="J53" i="19"/>
  <c r="J54" i="19"/>
  <c r="J55" i="19"/>
  <c r="J56" i="19"/>
  <c r="J57" i="19"/>
  <c r="J58" i="19"/>
  <c r="J59" i="19"/>
  <c r="J60" i="19"/>
  <c r="J61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D24" i="19"/>
  <c r="D25" i="19"/>
  <c r="D26" i="19"/>
  <c r="D27" i="19"/>
  <c r="D28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D35" i="19"/>
  <c r="L3" i="19"/>
  <c r="C16" i="19"/>
  <c r="D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D29" i="19"/>
  <c r="C30" i="19"/>
  <c r="D30" i="19"/>
  <c r="C31" i="19"/>
  <c r="D31" i="19"/>
  <c r="C32" i="19"/>
  <c r="D32" i="19"/>
  <c r="C33" i="19"/>
  <c r="D33" i="19"/>
  <c r="C34" i="19"/>
  <c r="D34" i="19"/>
  <c r="C35" i="19"/>
  <c r="D41" i="19"/>
  <c r="D45" i="19"/>
  <c r="D47" i="19"/>
  <c r="D49" i="19"/>
  <c r="A52" i="19"/>
  <c r="D52" i="19"/>
  <c r="A53" i="19"/>
  <c r="D53" i="19"/>
  <c r="A54" i="19"/>
  <c r="D54" i="19"/>
  <c r="A55" i="19"/>
  <c r="D55" i="19"/>
  <c r="A56" i="19"/>
  <c r="D56" i="19"/>
  <c r="A57" i="19"/>
  <c r="D57" i="19"/>
  <c r="A58" i="19"/>
  <c r="D58" i="19"/>
  <c r="A59" i="19"/>
  <c r="D59" i="19"/>
  <c r="A60" i="19"/>
  <c r="D60" i="19"/>
  <c r="A61" i="19"/>
  <c r="D61" i="19"/>
  <c r="A62" i="19"/>
  <c r="D62" i="19"/>
  <c r="A63" i="19"/>
  <c r="E71" i="19"/>
  <c r="H72" i="19"/>
  <c r="I72" i="19"/>
  <c r="K72" i="19"/>
  <c r="AN157" i="22"/>
  <c r="AN161" i="22"/>
  <c r="AN163" i="22"/>
  <c r="AN165" i="22"/>
  <c r="AN167" i="22"/>
  <c r="AN169" i="22"/>
  <c r="AN171" i="22"/>
  <c r="AN173" i="22"/>
  <c r="AN175" i="22"/>
  <c r="AN177" i="22"/>
  <c r="AN180" i="22"/>
  <c r="AN182" i="22"/>
  <c r="AN186" i="22"/>
  <c r="AN190" i="22"/>
  <c r="AN194" i="22"/>
  <c r="AN158" i="22"/>
  <c r="AN179" i="22"/>
  <c r="AN185" i="22"/>
  <c r="AN189" i="22"/>
  <c r="AN193" i="22"/>
  <c r="AN155" i="22"/>
  <c r="AN159" i="22"/>
  <c r="AN162" i="22"/>
  <c r="AN164" i="22"/>
  <c r="AN166" i="22"/>
  <c r="AN168" i="22"/>
  <c r="AN170" i="22"/>
  <c r="AN172" i="22"/>
  <c r="AN174" i="22"/>
  <c r="AN176" i="22"/>
  <c r="AN178" i="22"/>
  <c r="AN181" i="22"/>
  <c r="AN184" i="22"/>
  <c r="AN188" i="22"/>
  <c r="AN195" i="22"/>
  <c r="AN160" i="22"/>
  <c r="AN183" i="22"/>
  <c r="AN187" i="22"/>
  <c r="AN156" i="22"/>
  <c r="AN191" i="22"/>
  <c r="AN192" i="22"/>
  <c r="P89" i="22"/>
  <c r="K13" i="24"/>
  <c r="K14" i="24"/>
  <c r="S85" i="22"/>
  <c r="S10" i="22"/>
  <c r="G11" i="19" s="1"/>
  <c r="K10" i="19" s="1"/>
  <c r="AJ10" i="24"/>
  <c r="J14" i="24" s="1"/>
  <c r="J13" i="24"/>
  <c r="D14" i="25"/>
  <c r="C111" i="13"/>
  <c r="J12" i="24"/>
  <c r="C115" i="13"/>
  <c r="D2" i="23"/>
  <c r="HO34" i="22"/>
  <c r="HO30" i="22"/>
  <c r="HO29" i="22"/>
  <c r="HO35" i="22"/>
  <c r="HO17" i="22"/>
  <c r="HO18" i="22"/>
  <c r="HO26" i="22"/>
  <c r="HO19" i="22"/>
  <c r="HO27" i="22"/>
  <c r="HO20" i="22"/>
  <c r="HO28" i="22"/>
  <c r="HO21" i="22"/>
  <c r="HP18" i="22"/>
  <c r="HN21" i="22"/>
  <c r="C256" i="23"/>
  <c r="HP17" i="22"/>
  <c r="C265" i="23"/>
  <c r="C267" i="23"/>
  <c r="HP20" i="22"/>
  <c r="HN28" i="22"/>
  <c r="C264" i="23"/>
  <c r="C257" i="23"/>
  <c r="HN30" i="22"/>
  <c r="HP21" i="22"/>
  <c r="HP28" i="22"/>
  <c r="HP26" i="22"/>
  <c r="HN27" i="22"/>
  <c r="HN26" i="22"/>
  <c r="HP30" i="22"/>
  <c r="HP29" i="22"/>
  <c r="HP34" i="22"/>
  <c r="HN34" i="22"/>
  <c r="HN18" i="22"/>
  <c r="HP35" i="22"/>
  <c r="HP19" i="22"/>
  <c r="HP27" i="22"/>
  <c r="HN29" i="22"/>
  <c r="HN19" i="22"/>
  <c r="C269" i="23"/>
  <c r="C261" i="23"/>
  <c r="C270" i="23"/>
  <c r="C271" i="23"/>
  <c r="C250" i="23"/>
  <c r="C266" i="23"/>
  <c r="C258" i="23"/>
  <c r="C272" i="23"/>
  <c r="C263" i="23"/>
  <c r="C254" i="23"/>
  <c r="C253" i="23"/>
  <c r="C275" i="23"/>
  <c r="HN35" i="22"/>
  <c r="HN20" i="22"/>
  <c r="HN17" i="22"/>
  <c r="C255" i="23"/>
  <c r="C260" i="23"/>
  <c r="C252" i="23"/>
  <c r="C273" i="23"/>
  <c r="C262" i="23"/>
  <c r="C251" i="23"/>
  <c r="C274" i="23"/>
  <c r="C259" i="23"/>
  <c r="C268" i="23"/>
  <c r="A17" i="19"/>
  <c r="HN16" i="22"/>
  <c r="HP16" i="22"/>
  <c r="J13" i="1"/>
  <c r="AO147" i="22"/>
  <c r="J156" i="22" s="1"/>
  <c r="I20" i="19"/>
  <c r="U10" i="24"/>
  <c r="J11" i="24" s="1"/>
  <c r="J10" i="24"/>
  <c r="D12" i="24"/>
  <c r="E12" i="24" s="1"/>
  <c r="O4" i="1" l="1"/>
  <c r="M13" i="1"/>
  <c r="L19" i="1"/>
  <c r="G17" i="1"/>
  <c r="N5" i="1" s="1"/>
  <c r="HN118" i="22"/>
  <c r="HN111" i="22"/>
  <c r="HN104" i="22"/>
  <c r="HN125" i="22"/>
  <c r="HN122" i="22"/>
  <c r="HN121" i="22"/>
  <c r="HN106" i="22"/>
  <c r="HN117" i="22"/>
  <c r="HN108" i="22"/>
  <c r="HN123" i="22"/>
  <c r="HN102" i="22"/>
  <c r="HN107" i="22"/>
  <c r="HN120" i="22"/>
  <c r="HN114" i="22"/>
  <c r="HN115" i="22"/>
  <c r="HN124" i="22"/>
  <c r="HN101" i="22"/>
  <c r="HN103" i="22"/>
  <c r="HN116" i="22"/>
  <c r="HN110" i="22"/>
  <c r="D7" i="23"/>
  <c r="HN100" i="22"/>
  <c r="HN109" i="22"/>
  <c r="HN113" i="22"/>
  <c r="HN97" i="22"/>
  <c r="HN119" i="22"/>
  <c r="HN105" i="22"/>
  <c r="AC6" i="22"/>
  <c r="C2" i="22" s="1"/>
  <c r="J19" i="22"/>
  <c r="AL173" i="22"/>
  <c r="J44" i="19"/>
  <c r="J42" i="19"/>
  <c r="J48" i="19"/>
  <c r="J43" i="19"/>
  <c r="M72" i="22"/>
  <c r="G48" i="22"/>
  <c r="AL189" i="22"/>
  <c r="AL180" i="22"/>
  <c r="AL160" i="22"/>
  <c r="D2" i="25"/>
  <c r="J50" i="22" s="1"/>
  <c r="E20" i="19" s="1"/>
  <c r="E2" i="25"/>
  <c r="AL184" i="22"/>
  <c r="AL159" i="22"/>
  <c r="AL161" i="22"/>
  <c r="AL181" i="22"/>
  <c r="AL176" i="22"/>
  <c r="AL175" i="22"/>
  <c r="AL187" i="22"/>
  <c r="AL166" i="22"/>
  <c r="AL167" i="22"/>
  <c r="AL158" i="22"/>
  <c r="AL165" i="22"/>
  <c r="AL188" i="22"/>
  <c r="AL193" i="22"/>
  <c r="AJ155" i="22"/>
  <c r="F248" i="23"/>
  <c r="G20" i="1"/>
  <c r="H20" i="1" s="1"/>
  <c r="E4" i="23"/>
  <c r="HP7" i="22" s="1"/>
  <c r="AL190" i="22"/>
  <c r="AL155" i="22"/>
  <c r="AL185" i="22"/>
  <c r="C2" i="25"/>
  <c r="AD155" i="22"/>
  <c r="J41" i="19"/>
  <c r="AE156" i="22"/>
  <c r="AE157" i="22" s="1"/>
  <c r="AE158" i="22" s="1"/>
  <c r="AA42" i="22"/>
  <c r="G248" i="23"/>
  <c r="D13" i="24"/>
  <c r="E13" i="24" s="1"/>
  <c r="AL171" i="22"/>
  <c r="AL194" i="22"/>
  <c r="AL192" i="22"/>
  <c r="AL191" i="22"/>
  <c r="AL169" i="22"/>
  <c r="AL162" i="22"/>
  <c r="AL172" i="22"/>
  <c r="AL195" i="22"/>
  <c r="AL163" i="22"/>
  <c r="I248" i="23"/>
  <c r="AL183" i="22"/>
  <c r="AL157" i="22"/>
  <c r="AL174" i="22"/>
  <c r="AL177" i="22"/>
  <c r="AL182" i="22"/>
  <c r="AL170" i="22"/>
  <c r="AL179" i="22"/>
  <c r="AL164" i="22"/>
  <c r="AL178" i="22"/>
  <c r="AL186" i="22"/>
  <c r="AL168" i="22"/>
  <c r="AC156" i="22"/>
  <c r="IW89" i="22"/>
  <c r="O32" i="1" s="1"/>
  <c r="P32" i="1" s="1"/>
  <c r="Q32" i="1" s="1"/>
  <c r="L17" i="1" s="1"/>
  <c r="J9" i="1"/>
  <c r="J45" i="19"/>
  <c r="AF155" i="22"/>
  <c r="J157" i="22"/>
  <c r="U43" i="22"/>
  <c r="J158" i="22"/>
  <c r="J49" i="19"/>
  <c r="A48" i="19"/>
  <c r="J47" i="19"/>
  <c r="AI156" i="22"/>
  <c r="AJ156" i="22" s="1"/>
  <c r="AG157" i="22"/>
  <c r="AH155" i="22"/>
  <c r="G10" i="19"/>
  <c r="G156" i="22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AP147" i="22"/>
  <c r="S8" i="1"/>
  <c r="S6" i="1"/>
  <c r="J248" i="23"/>
  <c r="H248" i="23"/>
  <c r="C7" i="23"/>
  <c r="E247" i="23"/>
  <c r="F7" i="23"/>
  <c r="F9" i="23" s="1"/>
  <c r="I50" i="19"/>
  <c r="J50" i="19" s="1"/>
  <c r="M9" i="1"/>
  <c r="N4" i="1"/>
  <c r="E7" i="23"/>
  <c r="HO5" i="22"/>
  <c r="K9" i="19"/>
  <c r="E83" i="19"/>
  <c r="D3" i="23"/>
  <c r="D14" i="24" l="1"/>
  <c r="K79" i="22"/>
  <c r="AP91" i="22" s="1"/>
  <c r="AR90" i="22" s="1"/>
  <c r="AF157" i="22"/>
  <c r="S44" i="22"/>
  <c r="S48" i="22"/>
  <c r="S54" i="22"/>
  <c r="J44" i="22"/>
  <c r="E17" i="19" s="1"/>
  <c r="HO6" i="22"/>
  <c r="HP11" i="22"/>
  <c r="AO117" i="22"/>
  <c r="AS117" i="22" s="1"/>
  <c r="J3" i="1"/>
  <c r="L12" i="1" s="1"/>
  <c r="J42" i="22"/>
  <c r="E16" i="19" s="1"/>
  <c r="J52" i="22"/>
  <c r="E21" i="19" s="1"/>
  <c r="A19" i="19" s="1"/>
  <c r="S52" i="22"/>
  <c r="S46" i="22"/>
  <c r="HO11" i="22"/>
  <c r="AF156" i="22"/>
  <c r="S50" i="22"/>
  <c r="J54" i="22"/>
  <c r="E22" i="19" s="1"/>
  <c r="A20" i="19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F62" i="23" s="1"/>
  <c r="F63" i="23" s="1"/>
  <c r="F64" i="23" s="1"/>
  <c r="F65" i="23" s="1"/>
  <c r="F66" i="23" s="1"/>
  <c r="F67" i="23" s="1"/>
  <c r="F68" i="23" s="1"/>
  <c r="F69" i="23" s="1"/>
  <c r="F70" i="23" s="1"/>
  <c r="F71" i="23" s="1"/>
  <c r="F72" i="23" s="1"/>
  <c r="F73" i="23" s="1"/>
  <c r="F74" i="23" s="1"/>
  <c r="F75" i="23" s="1"/>
  <c r="F76" i="23" s="1"/>
  <c r="F77" i="23" s="1"/>
  <c r="F78" i="23" s="1"/>
  <c r="F79" i="23" s="1"/>
  <c r="F80" i="23" s="1"/>
  <c r="F81" i="23" s="1"/>
  <c r="F82" i="23" s="1"/>
  <c r="F83" i="23" s="1"/>
  <c r="F84" i="23" s="1"/>
  <c r="F85" i="23" s="1"/>
  <c r="F86" i="23" s="1"/>
  <c r="F87" i="23" s="1"/>
  <c r="F88" i="23" s="1"/>
  <c r="F89" i="23" s="1"/>
  <c r="F90" i="23" s="1"/>
  <c r="F91" i="23" s="1"/>
  <c r="F92" i="23" s="1"/>
  <c r="F93" i="23" s="1"/>
  <c r="F94" i="23" s="1"/>
  <c r="F95" i="23" s="1"/>
  <c r="F96" i="23" s="1"/>
  <c r="F97" i="23" s="1"/>
  <c r="F98" i="23" s="1"/>
  <c r="F99" i="23" s="1"/>
  <c r="F100" i="23" s="1"/>
  <c r="F101" i="23" s="1"/>
  <c r="F102" i="23" s="1"/>
  <c r="F103" i="23" s="1"/>
  <c r="F104" i="23" s="1"/>
  <c r="F105" i="23" s="1"/>
  <c r="F106" i="23" s="1"/>
  <c r="F107" i="23" s="1"/>
  <c r="F108" i="23" s="1"/>
  <c r="F109" i="23" s="1"/>
  <c r="F110" i="23" s="1"/>
  <c r="F111" i="23" s="1"/>
  <c r="F112" i="23" s="1"/>
  <c r="F113" i="23" s="1"/>
  <c r="F114" i="23" s="1"/>
  <c r="F115" i="23" s="1"/>
  <c r="F116" i="23" s="1"/>
  <c r="F117" i="23" s="1"/>
  <c r="F118" i="23" s="1"/>
  <c r="F119" i="23" s="1"/>
  <c r="F120" i="23" s="1"/>
  <c r="F121" i="23" s="1"/>
  <c r="F122" i="23" s="1"/>
  <c r="F123" i="23" s="1"/>
  <c r="F124" i="23" s="1"/>
  <c r="F125" i="23" s="1"/>
  <c r="F126" i="23" s="1"/>
  <c r="F127" i="23" s="1"/>
  <c r="F128" i="23" s="1"/>
  <c r="F129" i="23" s="1"/>
  <c r="F130" i="23" s="1"/>
  <c r="F131" i="23" s="1"/>
  <c r="F132" i="23" s="1"/>
  <c r="F133" i="23" s="1"/>
  <c r="F134" i="23" s="1"/>
  <c r="AF158" i="22"/>
  <c r="AE159" i="22"/>
  <c r="AE160" i="22" s="1"/>
  <c r="M19" i="1"/>
  <c r="M17" i="1"/>
  <c r="S42" i="22"/>
  <c r="P50" i="22"/>
  <c r="AI157" i="22"/>
  <c r="AI158" i="22" s="1"/>
  <c r="S74" i="22"/>
  <c r="O16" i="1"/>
  <c r="AD156" i="22"/>
  <c r="AC157" i="22"/>
  <c r="G44" i="22"/>
  <c r="H17" i="19" s="1"/>
  <c r="B17" i="19" s="1"/>
  <c r="T10" i="1"/>
  <c r="H17" i="1"/>
  <c r="G46" i="22"/>
  <c r="H18" i="19" s="1"/>
  <c r="H16" i="19"/>
  <c r="B16" i="19" s="1"/>
  <c r="M5" i="1"/>
  <c r="S10" i="1"/>
  <c r="L5" i="1"/>
  <c r="D246" i="23"/>
  <c r="F26" i="22"/>
  <c r="F28" i="22" s="1"/>
  <c r="G56" i="22"/>
  <c r="M91" i="22" s="1"/>
  <c r="M66" i="22"/>
  <c r="H42" i="19" s="1"/>
  <c r="K42" i="19" s="1"/>
  <c r="L42" i="19" s="1"/>
  <c r="R32" i="1"/>
  <c r="D15" i="24"/>
  <c r="E14" i="24"/>
  <c r="AH157" i="22"/>
  <c r="AG158" i="22"/>
  <c r="B107" i="13"/>
  <c r="B109" i="13"/>
  <c r="C109" i="13" s="1"/>
  <c r="M70" i="22"/>
  <c r="H44" i="19" s="1"/>
  <c r="K44" i="19" s="1"/>
  <c r="L44" i="19" s="1"/>
  <c r="B117" i="13"/>
  <c r="B118" i="13" s="1"/>
  <c r="B130" i="13"/>
  <c r="B113" i="13"/>
  <c r="C113" i="13" s="1"/>
  <c r="B126" i="13"/>
  <c r="B77" i="13"/>
  <c r="C77" i="13" s="1"/>
  <c r="B131" i="13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2" i="13"/>
  <c r="B3" i="13" s="1"/>
  <c r="B4" i="13" s="1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65" i="13"/>
  <c r="B66" i="13" s="1"/>
  <c r="B67" i="13" s="1"/>
  <c r="B68" i="13" s="1"/>
  <c r="B69" i="13" s="1"/>
  <c r="B70" i="13" s="1"/>
  <c r="B71" i="13" s="1"/>
  <c r="B72" i="13" s="1"/>
  <c r="B73" i="13" s="1"/>
  <c r="M68" i="22"/>
  <c r="H43" i="19" s="1"/>
  <c r="K43" i="19" s="1"/>
  <c r="L43" i="19" s="1"/>
  <c r="H41" i="19"/>
  <c r="K41" i="19" s="1"/>
  <c r="L41" i="19" s="1"/>
  <c r="K58" i="19"/>
  <c r="L58" i="19" s="1"/>
  <c r="B28" i="19"/>
  <c r="B27" i="19"/>
  <c r="B55" i="19"/>
  <c r="K53" i="19"/>
  <c r="L53" i="19" s="1"/>
  <c r="B56" i="19"/>
  <c r="K55" i="19"/>
  <c r="L55" i="19" s="1"/>
  <c r="B59" i="19"/>
  <c r="K34" i="19"/>
  <c r="L34" i="19" s="1"/>
  <c r="K54" i="19"/>
  <c r="L54" i="19" s="1"/>
  <c r="B62" i="19"/>
  <c r="B29" i="19"/>
  <c r="K29" i="19"/>
  <c r="L29" i="19" s="1"/>
  <c r="K31" i="19"/>
  <c r="L31" i="19" s="1"/>
  <c r="B26" i="19"/>
  <c r="B24" i="19"/>
  <c r="K30" i="19"/>
  <c r="L30" i="19" s="1"/>
  <c r="B53" i="19"/>
  <c r="K25" i="19"/>
  <c r="L25" i="19" s="1"/>
  <c r="B54" i="19"/>
  <c r="B35" i="19"/>
  <c r="K57" i="19"/>
  <c r="L57" i="19" s="1"/>
  <c r="B58" i="19"/>
  <c r="K61" i="19"/>
  <c r="L61" i="19" s="1"/>
  <c r="K24" i="19"/>
  <c r="L24" i="19" s="1"/>
  <c r="B33" i="19"/>
  <c r="K27" i="19"/>
  <c r="L27" i="19" s="1"/>
  <c r="B34" i="19"/>
  <c r="K33" i="19"/>
  <c r="L33" i="19" s="1"/>
  <c r="B31" i="19"/>
  <c r="K59" i="19"/>
  <c r="L59" i="19" s="1"/>
  <c r="B61" i="19"/>
  <c r="B57" i="19"/>
  <c r="K56" i="19"/>
  <c r="L56" i="19" s="1"/>
  <c r="K35" i="19"/>
  <c r="L35" i="19" s="1"/>
  <c r="B30" i="19"/>
  <c r="K26" i="19"/>
  <c r="L26" i="19" s="1"/>
  <c r="K28" i="19"/>
  <c r="L28" i="19" s="1"/>
  <c r="K60" i="19"/>
  <c r="L60" i="19" s="1"/>
  <c r="K32" i="19"/>
  <c r="L32" i="19" s="1"/>
  <c r="B25" i="19"/>
  <c r="B32" i="19"/>
  <c r="B60" i="19"/>
  <c r="L4" i="1"/>
  <c r="M4" i="1"/>
  <c r="L9" i="1"/>
  <c r="D263" i="23"/>
  <c r="D274" i="23"/>
  <c r="D267" i="23"/>
  <c r="D288" i="23"/>
  <c r="D272" i="23"/>
  <c r="D255" i="23"/>
  <c r="D281" i="23"/>
  <c r="D286" i="23"/>
  <c r="D285" i="23"/>
  <c r="D279" i="23"/>
  <c r="D265" i="23"/>
  <c r="D266" i="23"/>
  <c r="D268" i="23"/>
  <c r="D259" i="23"/>
  <c r="D269" i="23"/>
  <c r="D252" i="23"/>
  <c r="D276" i="23"/>
  <c r="D284" i="23"/>
  <c r="D256" i="23"/>
  <c r="D280" i="23"/>
  <c r="D277" i="23"/>
  <c r="D270" i="23"/>
  <c r="D262" i="23"/>
  <c r="HP93" i="22"/>
  <c r="D257" i="23"/>
  <c r="D264" i="23"/>
  <c r="D287" i="23"/>
  <c r="D250" i="23"/>
  <c r="D275" i="23"/>
  <c r="D273" i="23"/>
  <c r="D283" i="23"/>
  <c r="D278" i="23"/>
  <c r="D251" i="23"/>
  <c r="D260" i="23"/>
  <c r="D289" i="23"/>
  <c r="D282" i="23"/>
  <c r="D258" i="23"/>
  <c r="D254" i="23"/>
  <c r="D271" i="23"/>
  <c r="D261" i="23"/>
  <c r="D253" i="23"/>
  <c r="A18" i="19"/>
  <c r="J20" i="19"/>
  <c r="HN11" i="22"/>
  <c r="G50" i="22"/>
  <c r="H19" i="19"/>
  <c r="B78" i="13" l="1"/>
  <c r="C78" i="13" s="1"/>
  <c r="B110" i="13"/>
  <c r="C110" i="13" s="1"/>
  <c r="B114" i="13"/>
  <c r="C114" i="13" s="1"/>
  <c r="S66" i="22"/>
  <c r="HO92" i="22"/>
  <c r="AK117" i="22"/>
  <c r="AX117" i="22" s="1"/>
  <c r="HO109" i="22"/>
  <c r="HO120" i="22"/>
  <c r="HO130" i="22"/>
  <c r="HO104" i="22"/>
  <c r="HO124" i="22"/>
  <c r="HO110" i="22"/>
  <c r="HO133" i="22"/>
  <c r="HO129" i="22"/>
  <c r="HO97" i="22"/>
  <c r="HO131" i="22"/>
  <c r="HO101" i="22"/>
  <c r="HO116" i="22"/>
  <c r="HO138" i="22"/>
  <c r="HO140" i="22"/>
  <c r="HO121" i="22"/>
  <c r="HO141" i="22"/>
  <c r="HO135" i="22"/>
  <c r="HO139" i="22"/>
  <c r="HO111" i="22"/>
  <c r="HO105" i="22"/>
  <c r="HO119" i="22"/>
  <c r="HO115" i="22"/>
  <c r="HO132" i="22"/>
  <c r="HO117" i="22"/>
  <c r="HO103" i="22"/>
  <c r="HO123" i="22"/>
  <c r="HO114" i="22"/>
  <c r="HO136" i="22"/>
  <c r="HO108" i="22"/>
  <c r="HO102" i="22"/>
  <c r="HO107" i="22"/>
  <c r="HO100" i="22"/>
  <c r="HO125" i="22"/>
  <c r="HO106" i="22"/>
  <c r="HO128" i="22"/>
  <c r="HO127" i="22"/>
  <c r="HO118" i="22"/>
  <c r="HO137" i="22"/>
  <c r="HO122" i="22"/>
  <c r="HO113" i="22"/>
  <c r="A16" i="19"/>
  <c r="S64" i="22"/>
  <c r="G34" i="22"/>
  <c r="O6" i="1"/>
  <c r="S83" i="22"/>
  <c r="B18" i="19"/>
  <c r="AJ157" i="22"/>
  <c r="M74" i="22"/>
  <c r="AF159" i="22"/>
  <c r="N6" i="1"/>
  <c r="M6" i="1"/>
  <c r="BJ118" i="22"/>
  <c r="B42" i="19"/>
  <c r="G36" i="22"/>
  <c r="AC158" i="22"/>
  <c r="AD157" i="22"/>
  <c r="H23" i="19"/>
  <c r="H51" i="19" s="1"/>
  <c r="E46" i="19"/>
  <c r="J46" i="19" s="1"/>
  <c r="D16" i="24"/>
  <c r="E15" i="24"/>
  <c r="B144" i="13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AH158" i="22"/>
  <c r="AG159" i="22"/>
  <c r="AJ158" i="22"/>
  <c r="AI159" i="22"/>
  <c r="B44" i="19"/>
  <c r="B43" i="19"/>
  <c r="B41" i="19"/>
  <c r="AF160" i="22"/>
  <c r="AE161" i="22"/>
  <c r="B19" i="19"/>
  <c r="G52" i="22"/>
  <c r="H20" i="19"/>
  <c r="M76" i="22" l="1"/>
  <c r="M83" i="22" s="1"/>
  <c r="H47" i="19" s="1"/>
  <c r="AA61" i="22"/>
  <c r="H45" i="19"/>
  <c r="B45" i="19" s="1"/>
  <c r="M41" i="19"/>
  <c r="M42" i="19"/>
  <c r="M43" i="19"/>
  <c r="M44" i="19"/>
  <c r="AD158" i="22"/>
  <c r="AC159" i="22"/>
  <c r="A46" i="19"/>
  <c r="H52" i="19"/>
  <c r="B23" i="19"/>
  <c r="D17" i="24"/>
  <c r="E16" i="24"/>
  <c r="AI160" i="22"/>
  <c r="AJ159" i="22"/>
  <c r="AH159" i="22"/>
  <c r="AG160" i="22"/>
  <c r="AE162" i="22"/>
  <c r="AF161" i="22"/>
  <c r="B51" i="19"/>
  <c r="B20" i="19"/>
  <c r="M20" i="19"/>
  <c r="K20" i="19"/>
  <c r="L20" i="19" s="1"/>
  <c r="G54" i="22"/>
  <c r="H22" i="19" s="1"/>
  <c r="H21" i="19"/>
  <c r="H46" i="19" l="1"/>
  <c r="M46" i="19" s="1"/>
  <c r="R46" i="19" s="1"/>
  <c r="R44" i="19"/>
  <c r="AG68" i="22"/>
  <c r="R42" i="19"/>
  <c r="AD50" i="22"/>
  <c r="R41" i="19"/>
  <c r="M85" i="22"/>
  <c r="M87" i="22" s="1"/>
  <c r="M89" i="22" s="1"/>
  <c r="H50" i="19" s="1"/>
  <c r="B50" i="19" s="1"/>
  <c r="M45" i="19"/>
  <c r="B52" i="19"/>
  <c r="K45" i="19"/>
  <c r="L45" i="19" s="1"/>
  <c r="AG64" i="22"/>
  <c r="AG66" i="22"/>
  <c r="R43" i="19"/>
  <c r="AG70" i="22"/>
  <c r="AC160" i="22"/>
  <c r="AD159" i="22"/>
  <c r="E17" i="24"/>
  <c r="D18" i="24"/>
  <c r="AH160" i="22"/>
  <c r="AG161" i="22"/>
  <c r="AI161" i="22"/>
  <c r="AJ160" i="22"/>
  <c r="AF162" i="22"/>
  <c r="AE163" i="22"/>
  <c r="B47" i="19"/>
  <c r="M47" i="19"/>
  <c r="B21" i="19"/>
  <c r="B22" i="19"/>
  <c r="K46" i="19" l="1"/>
  <c r="L46" i="19" s="1"/>
  <c r="AG76" i="22"/>
  <c r="B46" i="19"/>
  <c r="K47" i="19"/>
  <c r="L47" i="19" s="1"/>
  <c r="R45" i="19"/>
  <c r="M50" i="19"/>
  <c r="AG74" i="22"/>
  <c r="AD160" i="22"/>
  <c r="AC161" i="22"/>
  <c r="D19" i="24"/>
  <c r="E18" i="24"/>
  <c r="AI162" i="22"/>
  <c r="AJ161" i="22"/>
  <c r="AG162" i="22"/>
  <c r="AH161" i="22"/>
  <c r="AG83" i="22"/>
  <c r="R47" i="19"/>
  <c r="AE164" i="22"/>
  <c r="AF163" i="22"/>
  <c r="K50" i="19" l="1"/>
  <c r="L50" i="19" s="1"/>
  <c r="R50" i="19"/>
  <c r="AG81" i="22"/>
  <c r="AG89" i="22"/>
  <c r="AC162" i="22"/>
  <c r="AD161" i="22"/>
  <c r="E19" i="24"/>
  <c r="D20" i="24"/>
  <c r="AG163" i="22"/>
  <c r="AH162" i="22"/>
  <c r="AJ162" i="22"/>
  <c r="AI163" i="22"/>
  <c r="AF164" i="22"/>
  <c r="AE165" i="22"/>
  <c r="AD162" i="22" l="1"/>
  <c r="AC163" i="22"/>
  <c r="E20" i="24"/>
  <c r="D21" i="24"/>
  <c r="AJ163" i="22"/>
  <c r="AI164" i="22"/>
  <c r="AH163" i="22"/>
  <c r="AG164" i="22"/>
  <c r="AF165" i="22"/>
  <c r="AE166" i="22"/>
  <c r="AC164" i="22" l="1"/>
  <c r="AD163" i="22"/>
  <c r="D22" i="24"/>
  <c r="E21" i="24"/>
  <c r="AI165" i="22"/>
  <c r="AJ164" i="22"/>
  <c r="AG165" i="22"/>
  <c r="AH164" i="22"/>
  <c r="AE167" i="22"/>
  <c r="AF166" i="22"/>
  <c r="AC165" i="22" l="1"/>
  <c r="AD164" i="22"/>
  <c r="D23" i="24"/>
  <c r="E23" i="24" s="1"/>
  <c r="E22" i="24"/>
  <c r="AJ165" i="22"/>
  <c r="AI166" i="22"/>
  <c r="AH165" i="22"/>
  <c r="AG166" i="22"/>
  <c r="AF167" i="22"/>
  <c r="AE168" i="22"/>
  <c r="AD165" i="22" l="1"/>
  <c r="AC166" i="22"/>
  <c r="AH166" i="22"/>
  <c r="AG167" i="22"/>
  <c r="AI167" i="22"/>
  <c r="AJ166" i="22"/>
  <c r="AF168" i="22"/>
  <c r="AE169" i="22"/>
  <c r="AD166" i="22" l="1"/>
  <c r="AC167" i="22"/>
  <c r="AJ167" i="22"/>
  <c r="AI168" i="22"/>
  <c r="AH167" i="22"/>
  <c r="AG168" i="22"/>
  <c r="AF169" i="22"/>
  <c r="AE170" i="22"/>
  <c r="AD167" i="22" l="1"/>
  <c r="AC168" i="22"/>
  <c r="AG169" i="22"/>
  <c r="AH168" i="22"/>
  <c r="AJ168" i="22"/>
  <c r="AI169" i="22"/>
  <c r="AE171" i="22"/>
  <c r="AF170" i="22"/>
  <c r="AC169" i="22" l="1"/>
  <c r="AD168" i="22"/>
  <c r="AJ169" i="22"/>
  <c r="AI170" i="22"/>
  <c r="AG170" i="22"/>
  <c r="AH169" i="22"/>
  <c r="AF171" i="22"/>
  <c r="AE172" i="22"/>
  <c r="AD169" i="22" l="1"/>
  <c r="AC170" i="22"/>
  <c r="AG171" i="22"/>
  <c r="AH170" i="22"/>
  <c r="AI171" i="22"/>
  <c r="AJ170" i="22"/>
  <c r="AF172" i="22"/>
  <c r="AE173" i="22"/>
  <c r="AD170" i="22" l="1"/>
  <c r="AC171" i="22"/>
  <c r="AI172" i="22"/>
  <c r="AJ171" i="22"/>
  <c r="AH171" i="22"/>
  <c r="AG172" i="22"/>
  <c r="AF173" i="22"/>
  <c r="AE174" i="22"/>
  <c r="AC172" i="22" l="1"/>
  <c r="AD171" i="22"/>
  <c r="AH172" i="22"/>
  <c r="AG173" i="22"/>
  <c r="AJ172" i="22"/>
  <c r="AI173" i="22"/>
  <c r="AE175" i="22"/>
  <c r="AF174" i="22"/>
  <c r="AD172" i="22" l="1"/>
  <c r="AC173" i="22"/>
  <c r="AJ173" i="22"/>
  <c r="AI174" i="22"/>
  <c r="AG174" i="22"/>
  <c r="AH173" i="22"/>
  <c r="AE176" i="22"/>
  <c r="AF175" i="22"/>
  <c r="AC174" i="22" l="1"/>
  <c r="AD173" i="22"/>
  <c r="AH174" i="22"/>
  <c r="AG175" i="22"/>
  <c r="AJ174" i="22"/>
  <c r="AI175" i="22"/>
  <c r="AE177" i="22"/>
  <c r="AF176" i="22"/>
  <c r="AD174" i="22" l="1"/>
  <c r="AC175" i="22"/>
  <c r="AI176" i="22"/>
  <c r="AJ175" i="22"/>
  <c r="AH175" i="22"/>
  <c r="AG176" i="22"/>
  <c r="AF177" i="22"/>
  <c r="AE178" i="22"/>
  <c r="AD175" i="22" l="1"/>
  <c r="AC176" i="22"/>
  <c r="AG177" i="22"/>
  <c r="AH176" i="22"/>
  <c r="AJ176" i="22"/>
  <c r="AI177" i="22"/>
  <c r="AF178" i="22"/>
  <c r="AE179" i="22"/>
  <c r="AC177" i="22" l="1"/>
  <c r="AD176" i="22"/>
  <c r="AJ177" i="22"/>
  <c r="AI178" i="22"/>
  <c r="AH177" i="22"/>
  <c r="AG178" i="22"/>
  <c r="AE180" i="22"/>
  <c r="AF179" i="22"/>
  <c r="AC178" i="22" l="1"/>
  <c r="AD177" i="22"/>
  <c r="AH178" i="22"/>
  <c r="AG179" i="22"/>
  <c r="AJ178" i="22"/>
  <c r="AI179" i="22"/>
  <c r="AF180" i="22"/>
  <c r="AE181" i="22"/>
  <c r="AD178" i="22" l="1"/>
  <c r="AC179" i="22"/>
  <c r="AJ179" i="22"/>
  <c r="AI180" i="22"/>
  <c r="AH179" i="22"/>
  <c r="AG180" i="22"/>
  <c r="AE182" i="22"/>
  <c r="AF181" i="22"/>
  <c r="AC180" i="22" l="1"/>
  <c r="AD179" i="22"/>
  <c r="AG181" i="22"/>
  <c r="AH180" i="22"/>
  <c r="AI181" i="22"/>
  <c r="AJ180" i="22"/>
  <c r="AF182" i="22"/>
  <c r="AE183" i="22"/>
  <c r="AD180" i="22" l="1"/>
  <c r="AC181" i="22"/>
  <c r="AJ181" i="22"/>
  <c r="AI182" i="22"/>
  <c r="AH181" i="22"/>
  <c r="AG182" i="22"/>
  <c r="AF183" i="22"/>
  <c r="AE184" i="22"/>
  <c r="AD181" i="22" l="1"/>
  <c r="AC182" i="22"/>
  <c r="AG183" i="22"/>
  <c r="AH182" i="22"/>
  <c r="AI183" i="22"/>
  <c r="AJ182" i="22"/>
  <c r="AE185" i="22"/>
  <c r="AF184" i="22"/>
  <c r="AC183" i="22" l="1"/>
  <c r="AD182" i="22"/>
  <c r="AJ183" i="22"/>
  <c r="AI184" i="22"/>
  <c r="AH183" i="22"/>
  <c r="AG184" i="22"/>
  <c r="AF185" i="22"/>
  <c r="AE186" i="22"/>
  <c r="AD183" i="22" l="1"/>
  <c r="AC184" i="22"/>
  <c r="AH184" i="22"/>
  <c r="AG185" i="22"/>
  <c r="AI185" i="22"/>
  <c r="AJ184" i="22"/>
  <c r="AF186" i="22"/>
  <c r="AE187" i="22"/>
  <c r="AD184" i="22" l="1"/>
  <c r="AC185" i="22"/>
  <c r="AI186" i="22"/>
  <c r="AJ185" i="22"/>
  <c r="AG186" i="22"/>
  <c r="AH185" i="22"/>
  <c r="AF187" i="22"/>
  <c r="AE188" i="22"/>
  <c r="AD185" i="22" l="1"/>
  <c r="AC186" i="22"/>
  <c r="AG187" i="22"/>
  <c r="AH186" i="22"/>
  <c r="AJ186" i="22"/>
  <c r="AI187" i="22"/>
  <c r="AF188" i="22"/>
  <c r="AE189" i="22"/>
  <c r="AC187" i="22" l="1"/>
  <c r="AD186" i="22"/>
  <c r="AI188" i="22"/>
  <c r="AJ187" i="22"/>
  <c r="AH187" i="22"/>
  <c r="AG188" i="22"/>
  <c r="AF189" i="22"/>
  <c r="AE190" i="22"/>
  <c r="AC188" i="22" l="1"/>
  <c r="AD187" i="22"/>
  <c r="AG189" i="22"/>
  <c r="AH188" i="22"/>
  <c r="AJ188" i="22"/>
  <c r="AI189" i="22"/>
  <c r="AF190" i="22"/>
  <c r="AE191" i="22"/>
  <c r="AC189" i="22" l="1"/>
  <c r="AD188" i="22"/>
  <c r="AI190" i="22"/>
  <c r="AJ189" i="22"/>
  <c r="AH189" i="22"/>
  <c r="AG190" i="22"/>
  <c r="AF191" i="22"/>
  <c r="AE192" i="22"/>
  <c r="AC190" i="22" l="1"/>
  <c r="AD189" i="22"/>
  <c r="AH190" i="22"/>
  <c r="AG191" i="22"/>
  <c r="AI191" i="22"/>
  <c r="AJ190" i="22"/>
  <c r="AE193" i="22"/>
  <c r="AF192" i="22"/>
  <c r="AC191" i="22" l="1"/>
  <c r="AD190" i="22"/>
  <c r="AJ191" i="22"/>
  <c r="AI192" i="22"/>
  <c r="AG192" i="22"/>
  <c r="AH191" i="22"/>
  <c r="AE194" i="22"/>
  <c r="AF193" i="22"/>
  <c r="AC192" i="22" l="1"/>
  <c r="AD191" i="22"/>
  <c r="AG193" i="22"/>
  <c r="AH192" i="22"/>
  <c r="AJ192" i="22"/>
  <c r="AI193" i="22"/>
  <c r="AE195" i="22"/>
  <c r="AF195" i="22" s="1"/>
  <c r="AF194" i="22"/>
  <c r="AD192" i="22" l="1"/>
  <c r="AC193" i="22"/>
  <c r="AI194" i="22"/>
  <c r="AJ193" i="22"/>
  <c r="AH193" i="22"/>
  <c r="AG194" i="22"/>
  <c r="AC194" i="22" l="1"/>
  <c r="AD193" i="22"/>
  <c r="AH194" i="22"/>
  <c r="AG195" i="22"/>
  <c r="AJ194" i="22"/>
  <c r="AI195" i="22"/>
  <c r="AD194" i="22" l="1"/>
  <c r="AC195" i="22"/>
  <c r="S158" i="22" s="1"/>
  <c r="AH195" i="22"/>
  <c r="AJ195" i="22"/>
  <c r="M176" i="22" l="1"/>
  <c r="M158" i="22"/>
  <c r="O158" i="22" s="1"/>
  <c r="M161" i="22"/>
  <c r="M179" i="22"/>
  <c r="M166" i="22"/>
  <c r="M189" i="22"/>
  <c r="M195" i="22"/>
  <c r="M183" i="22"/>
  <c r="M188" i="22"/>
  <c r="M175" i="22"/>
  <c r="S195" i="22"/>
  <c r="M162" i="22"/>
  <c r="M164" i="22"/>
  <c r="M174" i="22"/>
  <c r="M167" i="22"/>
  <c r="M185" i="22"/>
  <c r="M194" i="22"/>
  <c r="M157" i="22"/>
  <c r="O157" i="22" s="1"/>
  <c r="S194" i="22"/>
  <c r="S157" i="22"/>
  <c r="M191" i="22"/>
  <c r="S156" i="22"/>
  <c r="M193" i="22"/>
  <c r="M165" i="22"/>
  <c r="M186" i="22"/>
  <c r="M192" i="22"/>
  <c r="M182" i="22"/>
  <c r="M170" i="22"/>
  <c r="M156" i="22"/>
  <c r="O156" i="22" s="1"/>
  <c r="M173" i="22"/>
  <c r="M160" i="22"/>
  <c r="M181" i="22"/>
  <c r="M172" i="22"/>
  <c r="M190" i="22"/>
  <c r="M178" i="22"/>
  <c r="M180" i="22"/>
  <c r="M168" i="22"/>
  <c r="M169" i="22"/>
  <c r="M171" i="22"/>
  <c r="M184" i="22"/>
  <c r="M177" i="22"/>
  <c r="M187" i="22"/>
  <c r="M159" i="22"/>
  <c r="AD195" i="22"/>
  <c r="M163" i="22"/>
  <c r="HO16" i="22" l="1"/>
  <c r="H9" i="23"/>
  <c r="S6" i="22"/>
  <c r="M48" i="22" l="1"/>
  <c r="M46" i="22"/>
  <c r="E93" i="22"/>
  <c r="AD26" i="22"/>
  <c r="S32" i="22" s="1"/>
  <c r="S34" i="22" s="1"/>
  <c r="P77" i="22" s="1"/>
  <c r="G77" i="22" s="1"/>
  <c r="M44" i="22"/>
  <c r="I17" i="19" s="1"/>
  <c r="K17" i="19" s="1"/>
  <c r="L17" i="19" s="1"/>
  <c r="M52" i="22"/>
  <c r="J11" i="1"/>
  <c r="J17" i="1" s="1"/>
  <c r="M42" i="22"/>
  <c r="P42" i="22" s="1"/>
  <c r="AD74" i="22"/>
  <c r="AA54" i="22"/>
  <c r="W52" i="22"/>
  <c r="AA50" i="22"/>
  <c r="M54" i="22"/>
  <c r="AA52" i="22"/>
  <c r="P48" i="22" l="1"/>
  <c r="I19" i="19"/>
  <c r="AC36" i="22"/>
  <c r="P44" i="22"/>
  <c r="T43" i="22" s="1"/>
  <c r="U42" i="22"/>
  <c r="I16" i="19"/>
  <c r="J16" i="19" s="1"/>
  <c r="J17" i="19"/>
  <c r="M17" i="19"/>
  <c r="S4" i="22"/>
  <c r="O7" i="1"/>
  <c r="P54" i="22"/>
  <c r="I22" i="19"/>
  <c r="J22" i="19" s="1"/>
  <c r="M22" i="19" s="1"/>
  <c r="P52" i="22"/>
  <c r="I21" i="19"/>
  <c r="P46" i="22"/>
  <c r="I18" i="19"/>
  <c r="M18" i="19" s="1"/>
  <c r="J19" i="19" l="1"/>
  <c r="M19" i="19"/>
  <c r="AD48" i="22" s="1"/>
  <c r="S26" i="22"/>
  <c r="P91" i="22" s="1"/>
  <c r="I51" i="19" s="1"/>
  <c r="J51" i="19" s="1"/>
  <c r="J25" i="1"/>
  <c r="O5" i="1"/>
  <c r="O10" i="1" s="1"/>
  <c r="AD44" i="22"/>
  <c r="K16" i="19"/>
  <c r="L16" i="19" s="1"/>
  <c r="T41" i="22"/>
  <c r="AA41" i="22" s="1"/>
  <c r="AA46" i="22" s="1"/>
  <c r="AA47" i="22" s="1"/>
  <c r="M16" i="19"/>
  <c r="M56" i="22"/>
  <c r="P56" i="22" s="1"/>
  <c r="T44" i="22"/>
  <c r="P13" i="1"/>
  <c r="AD54" i="22"/>
  <c r="K22" i="19"/>
  <c r="L22" i="19" s="1"/>
  <c r="J18" i="19"/>
  <c r="K18" i="19"/>
  <c r="L18" i="19" s="1"/>
  <c r="AD46" i="22"/>
  <c r="K21" i="19"/>
  <c r="L21" i="19" s="1"/>
  <c r="J21" i="19"/>
  <c r="M21" i="19"/>
  <c r="T42" i="22"/>
  <c r="AA44" i="22" s="1"/>
  <c r="T46" i="22"/>
  <c r="U46" i="22" s="1"/>
  <c r="U47" i="22" s="1"/>
  <c r="K19" i="19" l="1"/>
  <c r="L19" i="19" s="1"/>
  <c r="S28" i="22"/>
  <c r="S30" i="22" s="1"/>
  <c r="S37" i="22" s="1"/>
  <c r="K51" i="19"/>
  <c r="L51" i="19" s="1"/>
  <c r="M51" i="19"/>
  <c r="AG91" i="22" s="1"/>
  <c r="HA14" i="22"/>
  <c r="AD52" i="22"/>
  <c r="AD42" i="22"/>
  <c r="U44" i="22"/>
  <c r="S56" i="22"/>
  <c r="I23" i="19"/>
  <c r="S68" i="22"/>
  <c r="R51" i="19" l="1"/>
  <c r="P58" i="22"/>
  <c r="K58" i="22" s="1"/>
  <c r="K23" i="19"/>
  <c r="L23" i="19" s="1"/>
  <c r="L36" i="19" s="1"/>
  <c r="J84" i="19" s="1"/>
  <c r="J23" i="19"/>
  <c r="M23" i="19"/>
  <c r="AD56" i="22" l="1"/>
  <c r="AD58" i="22" s="1"/>
  <c r="M36" i="19"/>
  <c r="J83" i="19"/>
  <c r="J85" i="19" s="1"/>
  <c r="J36" i="19"/>
  <c r="I11" i="19" l="1"/>
  <c r="I87" i="19"/>
  <c r="G89" i="19"/>
  <c r="Q16" i="24" l="1"/>
  <c r="Q32" i="24"/>
  <c r="Q18" i="24"/>
  <c r="Q39" i="24"/>
  <c r="Q68" i="24"/>
  <c r="Q24" i="24"/>
  <c r="Q27" i="24"/>
  <c r="Q137" i="24"/>
  <c r="Q61" i="24"/>
  <c r="Q71" i="24"/>
  <c r="Q70" i="24"/>
  <c r="Q125" i="24"/>
  <c r="Q112" i="24"/>
  <c r="Q81" i="24"/>
  <c r="Q120" i="24"/>
  <c r="Q133" i="24"/>
  <c r="Q88" i="24"/>
  <c r="Q95" i="24"/>
  <c r="Q92" i="24"/>
  <c r="Q101" i="24"/>
  <c r="Q121" i="24"/>
  <c r="Q106" i="24"/>
  <c r="Q107" i="24"/>
  <c r="Q63" i="24"/>
  <c r="Q58" i="24"/>
  <c r="Q38" i="24"/>
  <c r="Q31" i="24"/>
  <c r="Q76" i="24"/>
  <c r="Q134" i="24"/>
  <c r="Q64" i="24"/>
  <c r="Q22" i="24"/>
  <c r="Q69" i="24"/>
  <c r="Q23" i="24"/>
  <c r="Q77" i="24"/>
  <c r="Q37" i="24"/>
  <c r="Q114" i="24"/>
  <c r="Q109" i="24"/>
  <c r="Q99" i="24"/>
  <c r="Q90" i="24"/>
  <c r="Q128" i="24"/>
  <c r="Q93" i="24"/>
  <c r="Q111" i="24"/>
  <c r="Q102" i="24"/>
  <c r="Q78" i="24"/>
  <c r="Q104" i="24"/>
  <c r="Q82" i="24"/>
  <c r="Q117" i="24"/>
  <c r="Q85" i="24"/>
  <c r="Q119" i="24"/>
  <c r="Q98" i="24"/>
  <c r="Q118" i="24"/>
  <c r="Q108" i="24"/>
  <c r="Q25" i="24"/>
  <c r="Q33" i="24"/>
  <c r="Q30" i="24"/>
  <c r="Q139" i="24"/>
  <c r="Q59" i="24"/>
  <c r="Q40" i="24"/>
  <c r="Q136" i="24"/>
  <c r="Q17" i="24"/>
  <c r="Q67" i="24"/>
  <c r="Q138" i="24"/>
  <c r="Q62" i="24"/>
  <c r="Q35" i="24"/>
  <c r="Q29" i="24"/>
  <c r="Q36" i="24"/>
  <c r="Q73" i="24"/>
  <c r="Q34" i="24"/>
  <c r="Q96" i="24"/>
  <c r="Q91" i="24"/>
  <c r="Q79" i="24"/>
  <c r="Q115" i="24"/>
  <c r="Q127" i="24"/>
  <c r="Q80" i="24"/>
  <c r="Q130" i="24"/>
  <c r="Q122" i="24"/>
  <c r="Q132" i="24"/>
  <c r="Q103" i="24"/>
  <c r="Q97" i="24"/>
  <c r="Q57" i="24"/>
  <c r="Q66" i="24"/>
  <c r="Q83" i="24"/>
  <c r="Q123" i="24"/>
  <c r="Q116" i="24"/>
  <c r="Q100" i="24"/>
  <c r="Q126" i="24"/>
  <c r="Q28" i="24"/>
  <c r="Q75" i="24"/>
  <c r="Q124" i="24"/>
  <c r="Q113" i="24"/>
  <c r="Q19" i="24"/>
  <c r="Q141" i="24"/>
  <c r="Q65" i="24"/>
  <c r="Q56" i="24"/>
  <c r="Q129" i="24"/>
  <c r="Q86" i="24"/>
  <c r="Q72" i="24"/>
  <c r="Q140" i="24"/>
  <c r="Q135" i="24"/>
  <c r="Q131" i="24"/>
  <c r="Q20" i="24"/>
  <c r="Q21" i="24"/>
  <c r="Q26" i="24"/>
  <c r="Q60" i="24"/>
  <c r="Q105" i="24"/>
  <c r="Q110" i="24"/>
  <c r="Q84" i="24"/>
  <c r="Q89" i="24"/>
  <c r="Q94" i="24"/>
  <c r="Q41" i="24"/>
  <c r="Q74" i="24"/>
  <c r="Q87" i="24"/>
  <c r="Q46" i="24"/>
  <c r="C280" i="23" s="1"/>
  <c r="Q43" i="24"/>
  <c r="C277" i="23" s="1"/>
  <c r="Q44" i="24"/>
  <c r="C278" i="23" s="1"/>
  <c r="Q53" i="24"/>
  <c r="C287" i="23" s="1"/>
  <c r="Q55" i="24"/>
  <c r="C289" i="23" s="1"/>
  <c r="Q49" i="24"/>
  <c r="C283" i="23" s="1"/>
  <c r="Q52" i="24"/>
  <c r="C286" i="23" s="1"/>
  <c r="Q50" i="24"/>
  <c r="C284" i="23" s="1"/>
  <c r="Q47" i="24"/>
  <c r="C281" i="23" s="1"/>
  <c r="Q51" i="24"/>
  <c r="C285" i="23" s="1"/>
  <c r="Q48" i="24"/>
  <c r="C282" i="23" s="1"/>
  <c r="Q54" i="24"/>
  <c r="C288" i="23" s="1"/>
  <c r="Q42" i="24"/>
  <c r="C276" i="23" s="1"/>
  <c r="Q45" i="24"/>
  <c r="C279" i="23" s="1"/>
  <c r="HN136" i="22" l="1"/>
  <c r="HN140" i="22"/>
  <c r="HN138" i="22"/>
  <c r="HN130" i="22"/>
  <c r="HN137" i="22"/>
  <c r="HN135" i="22"/>
  <c r="HN128" i="22"/>
  <c r="HN139" i="22"/>
  <c r="HN133" i="22"/>
  <c r="HN129" i="22"/>
  <c r="HN132" i="22"/>
  <c r="HN141" i="22"/>
  <c r="HN131" i="22"/>
  <c r="HN127" i="22"/>
  <c r="P43" i="19"/>
  <c r="M81" i="22"/>
  <c r="H48" i="19"/>
  <c r="M48" i="19" s="1"/>
  <c r="R48" i="19" l="1"/>
  <c r="AA68" i="22"/>
  <c r="K48" i="19"/>
  <c r="L48" i="19" s="1"/>
  <c r="H49" i="19"/>
  <c r="S81" i="22"/>
  <c r="AG85" i="22"/>
  <c r="AG79" i="22"/>
  <c r="B48" i="19"/>
  <c r="M49" i="19" l="1"/>
  <c r="B49" i="19"/>
  <c r="K49" i="19"/>
  <c r="L49" i="19" s="1"/>
  <c r="R49" i="19" l="1"/>
  <c r="R63" i="19" s="1"/>
  <c r="R64" i="19" s="1"/>
  <c r="Q64" i="19" s="1"/>
  <c r="AG87" i="22"/>
  <c r="AC91" i="22" l="1"/>
  <c r="U92" i="22" s="1"/>
  <c r="P92" i="22" l="1"/>
  <c r="C117" i="22" s="1"/>
  <c r="P94" i="22" l="1"/>
  <c r="K96" i="22" s="1"/>
  <c r="S76" i="22" s="1"/>
  <c r="F117" i="22"/>
  <c r="J117" i="22" s="1"/>
  <c r="N117" i="22" s="1"/>
  <c r="E96" i="22"/>
  <c r="S96" i="22"/>
  <c r="I52" i="19"/>
  <c r="J52" i="19" s="1"/>
  <c r="S89" i="22"/>
  <c r="AL89" i="22" l="1"/>
  <c r="M52" i="19"/>
  <c r="K52" i="19"/>
  <c r="L52" i="19" s="1"/>
  <c r="L63" i="19" s="1"/>
  <c r="M84" i="19" s="1"/>
  <c r="L131" i="22"/>
  <c r="F131" i="22" s="1"/>
  <c r="D247" i="23"/>
  <c r="E271" i="23" s="1"/>
  <c r="J63" i="19"/>
  <c r="M83" i="19"/>
  <c r="E273" i="23" l="1"/>
  <c r="J179" i="22" s="1"/>
  <c r="E260" i="23"/>
  <c r="E281" i="23"/>
  <c r="E286" i="23"/>
  <c r="E261" i="23"/>
  <c r="E262" i="23"/>
  <c r="E285" i="23"/>
  <c r="E272" i="23"/>
  <c r="E283" i="23"/>
  <c r="M85" i="19"/>
  <c r="E264" i="23"/>
  <c r="E274" i="23"/>
  <c r="E277" i="23"/>
  <c r="E257" i="23"/>
  <c r="E259" i="23"/>
  <c r="E284" i="23"/>
  <c r="E266" i="23"/>
  <c r="E282" i="23"/>
  <c r="E252" i="23"/>
  <c r="E251" i="23"/>
  <c r="E278" i="23"/>
  <c r="E268" i="23"/>
  <c r="E253" i="23"/>
  <c r="E254" i="23"/>
  <c r="E263" i="23"/>
  <c r="E256" i="23"/>
  <c r="E258" i="23"/>
  <c r="E279" i="23"/>
  <c r="E288" i="23"/>
  <c r="E267" i="23"/>
  <c r="E270" i="23"/>
  <c r="E269" i="23"/>
  <c r="E276" i="23"/>
  <c r="E255" i="23"/>
  <c r="E287" i="23"/>
  <c r="E289" i="23"/>
  <c r="E280" i="23"/>
  <c r="E265" i="23"/>
  <c r="E275" i="23"/>
  <c r="AG92" i="22"/>
  <c r="AG94" i="22" s="1"/>
  <c r="S94" i="22" s="1"/>
  <c r="T94" i="22" s="1"/>
  <c r="M63" i="19"/>
  <c r="Q51" i="19" s="1"/>
  <c r="P51" i="19" s="1"/>
  <c r="HO93" i="22"/>
  <c r="M87" i="19"/>
  <c r="G69" i="19"/>
  <c r="P36" i="19"/>
  <c r="J70" i="19"/>
  <c r="J69" i="19"/>
  <c r="G70" i="19"/>
  <c r="J71" i="19"/>
  <c r="G71" i="19"/>
  <c r="HP121" i="22"/>
  <c r="J177" i="22"/>
  <c r="HP123" i="22" l="1"/>
  <c r="HP116" i="22"/>
  <c r="HP110" i="22"/>
  <c r="J171" i="22"/>
  <c r="O171" i="22" s="1"/>
  <c r="HP104" i="22"/>
  <c r="HP117" i="22"/>
  <c r="J166" i="22"/>
  <c r="O166" i="22" s="1"/>
  <c r="HP113" i="22"/>
  <c r="HP141" i="22"/>
  <c r="J175" i="22"/>
  <c r="O175" i="22" s="1"/>
  <c r="HP103" i="22"/>
  <c r="HP138" i="22"/>
  <c r="J182" i="22"/>
  <c r="O182" i="22" s="1"/>
  <c r="HP135" i="22"/>
  <c r="HP101" i="22"/>
  <c r="J187" i="22"/>
  <c r="S187" i="22" s="1"/>
  <c r="HP109" i="22"/>
  <c r="J191" i="22"/>
  <c r="S191" i="22" s="1"/>
  <c r="HP132" i="22"/>
  <c r="J168" i="22"/>
  <c r="S168" i="22" s="1"/>
  <c r="HP111" i="22"/>
  <c r="J192" i="22"/>
  <c r="S192" i="22" s="1"/>
  <c r="J167" i="22"/>
  <c r="S167" i="22" s="1"/>
  <c r="J164" i="22"/>
  <c r="O164" i="22" s="1"/>
  <c r="J181" i="22"/>
  <c r="S181" i="22" s="1"/>
  <c r="HP131" i="22"/>
  <c r="J169" i="22"/>
  <c r="O169" i="22" s="1"/>
  <c r="HP137" i="22"/>
  <c r="J193" i="22"/>
  <c r="S193" i="22" s="1"/>
  <c r="BD118" i="22"/>
  <c r="BG118" i="22" s="1"/>
  <c r="Q52" i="19"/>
  <c r="P52" i="19" s="1"/>
  <c r="J185" i="22"/>
  <c r="O185" i="22" s="1"/>
  <c r="J195" i="22"/>
  <c r="O195" i="22" s="1"/>
  <c r="J178" i="22"/>
  <c r="S178" i="22" s="1"/>
  <c r="HP136" i="22"/>
  <c r="HP124" i="22"/>
  <c r="HP122" i="22"/>
  <c r="HP119" i="22"/>
  <c r="J160" i="22"/>
  <c r="S160" i="22" s="1"/>
  <c r="J184" i="22"/>
  <c r="O184" i="22" s="1"/>
  <c r="HP125" i="22"/>
  <c r="HP108" i="22"/>
  <c r="J159" i="22"/>
  <c r="S159" i="22" s="1"/>
  <c r="HP139" i="22"/>
  <c r="HP107" i="22"/>
  <c r="HP120" i="22"/>
  <c r="J170" i="22"/>
  <c r="O170" i="22" s="1"/>
  <c r="HP129" i="22"/>
  <c r="Q41" i="19"/>
  <c r="P41" i="19" s="1"/>
  <c r="Q47" i="19"/>
  <c r="P47" i="19" s="1"/>
  <c r="J172" i="22"/>
  <c r="O172" i="22" s="1"/>
  <c r="J194" i="22"/>
  <c r="O194" i="22" s="1"/>
  <c r="HP128" i="22"/>
  <c r="J189" i="22"/>
  <c r="S189" i="22" s="1"/>
  <c r="Q50" i="19"/>
  <c r="P50" i="19" s="1"/>
  <c r="Q46" i="19"/>
  <c r="P46" i="19" s="1"/>
  <c r="HP127" i="22"/>
  <c r="HP140" i="22"/>
  <c r="J186" i="22"/>
  <c r="O186" i="22" s="1"/>
  <c r="J183" i="22"/>
  <c r="O183" i="22" s="1"/>
  <c r="Q48" i="19"/>
  <c r="P48" i="19" s="1"/>
  <c r="Q43" i="19"/>
  <c r="J174" i="22"/>
  <c r="S174" i="22" s="1"/>
  <c r="J165" i="22"/>
  <c r="S165" i="22" s="1"/>
  <c r="J176" i="22"/>
  <c r="S176" i="22" s="1"/>
  <c r="HP114" i="22"/>
  <c r="HP102" i="22"/>
  <c r="HP115" i="22"/>
  <c r="HP106" i="22"/>
  <c r="J173" i="22"/>
  <c r="O173" i="22" s="1"/>
  <c r="J162" i="22"/>
  <c r="S162" i="22" s="1"/>
  <c r="J188" i="22"/>
  <c r="S188" i="22" s="1"/>
  <c r="HP133" i="22"/>
  <c r="J161" i="22"/>
  <c r="O161" i="22" s="1"/>
  <c r="HP118" i="22"/>
  <c r="HP100" i="22"/>
  <c r="J190" i="22"/>
  <c r="S190" i="22" s="1"/>
  <c r="HP105" i="22"/>
  <c r="J163" i="22"/>
  <c r="S163" i="22" s="1"/>
  <c r="HP130" i="22"/>
  <c r="J180" i="22"/>
  <c r="S180" i="22" s="1"/>
  <c r="Q42" i="19"/>
  <c r="P42" i="19" s="1"/>
  <c r="Q49" i="19"/>
  <c r="P49" i="19" s="1"/>
  <c r="Q44" i="19"/>
  <c r="P44" i="19" s="1"/>
  <c r="J89" i="19"/>
  <c r="L89" i="19" s="1"/>
  <c r="M89" i="19" s="1"/>
  <c r="Q45" i="19"/>
  <c r="P45" i="19" s="1"/>
  <c r="G72" i="19"/>
  <c r="O177" i="22"/>
  <c r="S177" i="22"/>
  <c r="S179" i="22"/>
  <c r="O179" i="22"/>
  <c r="J72" i="19"/>
  <c r="L69" i="19"/>
  <c r="L70" i="19"/>
  <c r="M70" i="19" s="1"/>
  <c r="L71" i="19"/>
  <c r="M71" i="19" s="1"/>
  <c r="S175" i="22" l="1"/>
  <c r="S166" i="22"/>
  <c r="O187" i="22"/>
  <c r="S182" i="22"/>
  <c r="S171" i="22"/>
  <c r="AA76" i="22"/>
  <c r="AA92" i="22"/>
  <c r="AA83" i="22"/>
  <c r="AA74" i="22"/>
  <c r="O191" i="22"/>
  <c r="O168" i="22"/>
  <c r="O192" i="22"/>
  <c r="S164" i="22"/>
  <c r="O167" i="22"/>
  <c r="S172" i="22"/>
  <c r="O159" i="22"/>
  <c r="O178" i="22"/>
  <c r="S184" i="22"/>
  <c r="O193" i="22"/>
  <c r="O181" i="22"/>
  <c r="S185" i="22"/>
  <c r="O162" i="22"/>
  <c r="S169" i="22"/>
  <c r="AA64" i="22"/>
  <c r="S183" i="22"/>
  <c r="O174" i="22"/>
  <c r="O189" i="22"/>
  <c r="O163" i="22"/>
  <c r="S186" i="22"/>
  <c r="O180" i="22"/>
  <c r="S161" i="22"/>
  <c r="O160" i="22"/>
  <c r="O176" i="22"/>
  <c r="S170" i="22"/>
  <c r="AA85" i="22"/>
  <c r="O190" i="22"/>
  <c r="O188" i="22"/>
  <c r="O165" i="22"/>
  <c r="AA89" i="22"/>
  <c r="AA66" i="22"/>
  <c r="AA79" i="22"/>
  <c r="S173" i="22"/>
  <c r="AA87" i="22"/>
  <c r="AA81" i="22"/>
  <c r="AH130" i="22"/>
  <c r="AA70" i="22"/>
  <c r="M69" i="19"/>
  <c r="M72" i="19" s="1"/>
  <c r="L72" i="19"/>
  <c r="AM130" i="22"/>
  <c r="AR130" i="22"/>
</calcChain>
</file>

<file path=xl/comments1.xml><?xml version="1.0" encoding="utf-8"?>
<comments xmlns="http://schemas.openxmlformats.org/spreadsheetml/2006/main">
  <authors>
    <author>Robson França</author>
  </authors>
  <commentList>
    <comment ref="J1" authorId="0" shapeId="0">
      <text>
        <r>
          <rPr>
            <b/>
            <sz val="9"/>
            <color indexed="81"/>
            <rFont val="Segoe UI"/>
            <family val="2"/>
          </rPr>
          <t>Robson França:</t>
        </r>
        <r>
          <rPr>
            <sz val="9"/>
            <color indexed="81"/>
            <rFont val="Segoe UI"/>
            <family val="2"/>
          </rPr>
          <t xml:space="preserve">
Aumento de 1% em 11/09/2019</t>
        </r>
      </text>
    </comment>
  </commentList>
</comments>
</file>

<file path=xl/comments2.xml><?xml version="1.0" encoding="utf-8"?>
<comments xmlns="http://schemas.openxmlformats.org/spreadsheetml/2006/main">
  <authors>
    <author>João Pereira</author>
    <author>douglas.faria</author>
  </authors>
  <commentList>
    <comment ref="D4" authorId="0" shapeId="0">
      <text>
        <r>
          <rPr>
            <b/>
            <sz val="9"/>
            <color indexed="81"/>
            <rFont val="Segoe UI"/>
            <family val="2"/>
          </rPr>
          <t>João Pereira:</t>
        </r>
        <r>
          <rPr>
            <sz val="9"/>
            <color indexed="81"/>
            <rFont val="Segoe UI"/>
            <family val="2"/>
          </rPr>
          <t xml:space="preserve">
mudei de 1 para 1,5</t>
        </r>
      </text>
    </comment>
    <comment ref="D5" authorId="0" shapeId="0">
      <text>
        <r>
          <rPr>
            <b/>
            <sz val="9"/>
            <color indexed="81"/>
            <rFont val="Segoe UI"/>
            <family val="2"/>
          </rPr>
          <t>João Pereira:</t>
        </r>
        <r>
          <rPr>
            <sz val="9"/>
            <color indexed="81"/>
            <rFont val="Segoe UI"/>
            <family val="2"/>
          </rPr>
          <t xml:space="preserve">
mudei de 1 para 1,5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João Pereira:</t>
        </r>
        <r>
          <rPr>
            <sz val="9"/>
            <color indexed="81"/>
            <rFont val="Segoe UI"/>
            <family val="2"/>
          </rPr>
          <t xml:space="preserve">
mudei para 1</t>
        </r>
      </text>
    </comment>
    <comment ref="D6" authorId="0" shapeId="0">
      <text>
        <r>
          <rPr>
            <b/>
            <sz val="9"/>
            <color indexed="81"/>
            <rFont val="Segoe UI"/>
            <family val="2"/>
          </rPr>
          <t>João Pereira:</t>
        </r>
        <r>
          <rPr>
            <sz val="9"/>
            <color indexed="81"/>
            <rFont val="Segoe UI"/>
            <family val="2"/>
          </rPr>
          <t xml:space="preserve">
mudei de 3 para 2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João Pereira:</t>
        </r>
        <r>
          <rPr>
            <sz val="9"/>
            <color indexed="81"/>
            <rFont val="Segoe UI"/>
            <family val="2"/>
          </rPr>
          <t xml:space="preserve">
mudei de 5 para 3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</rPr>
          <t>douglas.faria:</t>
        </r>
        <r>
          <rPr>
            <sz val="9"/>
            <color indexed="81"/>
            <rFont val="Tahoma"/>
            <family val="2"/>
          </rPr>
          <t xml:space="preserve">
reduzir</t>
        </r>
      </text>
    </comment>
  </commentList>
</comments>
</file>

<file path=xl/comments3.xml><?xml version="1.0" encoding="utf-8"?>
<comments xmlns="http://schemas.openxmlformats.org/spreadsheetml/2006/main">
  <authors>
    <author>Nei Ferreira</author>
  </authors>
  <commentList>
    <comment ref="X15" authorId="0" shapeId="0">
      <text>
        <r>
          <rPr>
            <b/>
            <sz val="8"/>
            <color indexed="81"/>
            <rFont val="Tahoma"/>
            <family val="2"/>
          </rPr>
          <t>Nei Ferreira:</t>
        </r>
        <r>
          <rPr>
            <sz val="8"/>
            <color indexed="81"/>
            <rFont val="Tahoma"/>
            <family val="2"/>
          </rPr>
          <t xml:space="preserve">
Diminuir 1 mês, todo mês</t>
        </r>
      </text>
    </comment>
  </commentList>
</comments>
</file>

<file path=xl/sharedStrings.xml><?xml version="1.0" encoding="utf-8"?>
<sst xmlns="http://schemas.openxmlformats.org/spreadsheetml/2006/main" count="983" uniqueCount="480">
  <si>
    <t>Renda Familiar</t>
  </si>
  <si>
    <t>Subsídio</t>
  </si>
  <si>
    <t>3SM</t>
  </si>
  <si>
    <r>
      <t xml:space="preserve">Juros Nominal </t>
    </r>
    <r>
      <rPr>
        <sz val="8"/>
        <rFont val="Arial"/>
        <family val="2"/>
      </rPr>
      <t>(a.a.)</t>
    </r>
  </si>
  <si>
    <t>Comissão</t>
  </si>
  <si>
    <t>Valor Máximo do Imóvel</t>
  </si>
  <si>
    <t>Subsídio Máximo</t>
  </si>
  <si>
    <t>Comprometimento de Renda</t>
  </si>
  <si>
    <t>Escala de subsídio por SM</t>
  </si>
  <si>
    <t>PREMISSAS</t>
  </si>
  <si>
    <t>FGTS</t>
  </si>
  <si>
    <t>Subsídio Mínimo</t>
  </si>
  <si>
    <t>Escala de subsídio por R$</t>
  </si>
  <si>
    <t>Salário Mínimo</t>
  </si>
  <si>
    <t>Obra</t>
  </si>
  <si>
    <t>Desembolso</t>
  </si>
  <si>
    <t>Habite-se</t>
  </si>
  <si>
    <t>Período</t>
  </si>
  <si>
    <t>Repasse</t>
  </si>
  <si>
    <t>Obra / VGV</t>
  </si>
  <si>
    <t>Total</t>
  </si>
  <si>
    <t>Avaliação CAIXA</t>
  </si>
  <si>
    <t>Preço de Venda</t>
  </si>
  <si>
    <t>financiamento maximo pela renda</t>
  </si>
  <si>
    <t>240 meses</t>
  </si>
  <si>
    <t>300 meses</t>
  </si>
  <si>
    <t>FGTS Há mais de 3 anos?</t>
  </si>
  <si>
    <t>Valor máximo financiado sem comissão</t>
  </si>
  <si>
    <t>*</t>
  </si>
  <si>
    <t>Documento Interno para Equalização de Propostas</t>
  </si>
  <si>
    <t>Não tem Valor Comercial ou Jurídico</t>
  </si>
  <si>
    <t>Impressão</t>
  </si>
  <si>
    <t>Empreendimento</t>
  </si>
  <si>
    <t>Cargo</t>
  </si>
  <si>
    <t>Nome</t>
  </si>
  <si>
    <t>Anual</t>
  </si>
  <si>
    <t>Fixa</t>
  </si>
  <si>
    <t>HUMANARI / CYAN</t>
  </si>
  <si>
    <t>Proponente</t>
  </si>
  <si>
    <t>Corretor</t>
  </si>
  <si>
    <t>Chaves</t>
  </si>
  <si>
    <t>Corrigida</t>
  </si>
  <si>
    <t>HUMANARI / MAGENTA</t>
  </si>
  <si>
    <t>Unidade</t>
  </si>
  <si>
    <t>Gerente</t>
  </si>
  <si>
    <t>Mensal</t>
  </si>
  <si>
    <t>HUMANARI / RUBINE</t>
  </si>
  <si>
    <t>Semestral</t>
  </si>
  <si>
    <t>HUMANARI / VAGAS GARAGEM</t>
  </si>
  <si>
    <t>Data da Tabela</t>
  </si>
  <si>
    <t>Juros TP a.a.</t>
  </si>
  <si>
    <t>Data TP Tabela</t>
  </si>
  <si>
    <t>Sinal</t>
  </si>
  <si>
    <t>Data da proposta</t>
  </si>
  <si>
    <t>Juros Mercado a.a.</t>
  </si>
  <si>
    <t>Data TP Proposta</t>
  </si>
  <si>
    <t>Data das Chaves:</t>
  </si>
  <si>
    <t>Preço da unidade</t>
  </si>
  <si>
    <t>TABELA DE VENDAS</t>
  </si>
  <si>
    <t>Parc.</t>
  </si>
  <si>
    <t>Periodicidade</t>
  </si>
  <si>
    <t>Data</t>
  </si>
  <si>
    <t>Parcelas Sem TP</t>
  </si>
  <si>
    <t>Parcelas Com TP</t>
  </si>
  <si>
    <t>Valor Presente</t>
  </si>
  <si>
    <t>Inicial</t>
  </si>
  <si>
    <t>Parcelas</t>
  </si>
  <si>
    <t>OBS:</t>
  </si>
  <si>
    <t>TOTAL</t>
  </si>
  <si>
    <t>PROPOSTA DO PROPONENTE</t>
  </si>
  <si>
    <t>Param. Comissão</t>
  </si>
  <si>
    <t>%Abat. N.F.</t>
  </si>
  <si>
    <t>%Abat.</t>
  </si>
  <si>
    <t>Prêmio</t>
  </si>
  <si>
    <t>Valor</t>
  </si>
  <si>
    <t>%</t>
  </si>
  <si>
    <t>Valor do %</t>
  </si>
  <si>
    <t>Vistos</t>
  </si>
  <si>
    <t>Serasa</t>
  </si>
  <si>
    <t>Crédito</t>
  </si>
  <si>
    <t>Diretoria</t>
  </si>
  <si>
    <t>Data das Chaves</t>
  </si>
  <si>
    <t>Perc. Pagas até Chaves TB com TP</t>
  </si>
  <si>
    <t>Valor Total</t>
  </si>
  <si>
    <t>Preço Total</t>
  </si>
  <si>
    <t>Porcentagem</t>
  </si>
  <si>
    <t>Perc. Do Sinal sobre o Total (TB)</t>
  </si>
  <si>
    <t>Perc. do Sinal sobre o Total (Proposta)</t>
  </si>
  <si>
    <t>V.P. da Tabela</t>
  </si>
  <si>
    <t>V.P. da Proposta</t>
  </si>
  <si>
    <t>Diferença</t>
  </si>
  <si>
    <t>360 meses</t>
  </si>
  <si>
    <t>Empresa de vendas</t>
  </si>
  <si>
    <t>Reajuste INCCD2</t>
  </si>
  <si>
    <t>Valor Máximo financiado em 300 meses</t>
  </si>
  <si>
    <t>Select de Financiamento</t>
  </si>
  <si>
    <t>Resposta</t>
  </si>
  <si>
    <t>Correção da Resposta</t>
  </si>
  <si>
    <t>Avalição CAIXA - sub - fgts</t>
  </si>
  <si>
    <t>Corretor:</t>
  </si>
  <si>
    <t>Empreendimento:</t>
  </si>
  <si>
    <t>Parcela Máxima</t>
  </si>
  <si>
    <t>Parcela Máxima sem taxa</t>
  </si>
  <si>
    <t>Valores Financiáveis</t>
  </si>
  <si>
    <t>observação</t>
  </si>
  <si>
    <t xml:space="preserve"> Escala 2 de subsídio por SM</t>
  </si>
  <si>
    <t xml:space="preserve"> Escala 2 de subsídio por R$</t>
  </si>
  <si>
    <t>INCC (a.a.) Nominal</t>
  </si>
  <si>
    <t>Início da 2a escala de subsídio</t>
  </si>
  <si>
    <t>SP, Campinas, DF, RJ e RM</t>
  </si>
  <si>
    <t>Capitais e acima de 500mil</t>
  </si>
  <si>
    <t>Juros Cliente</t>
  </si>
  <si>
    <t>Valor Financiado</t>
  </si>
  <si>
    <t>Taxa de Juros</t>
  </si>
  <si>
    <t>Empreendimentos</t>
  </si>
  <si>
    <t>Empresa de Vendas</t>
  </si>
  <si>
    <t>FATTO SPORT FARIA LIMA</t>
  </si>
  <si>
    <t>SELLING</t>
  </si>
  <si>
    <t>FATTO JARDIM BOTANICO</t>
  </si>
  <si>
    <t>HABITCASA</t>
  </si>
  <si>
    <t>VITÓRIA PIRITUBA</t>
  </si>
  <si>
    <t>Prazo</t>
  </si>
  <si>
    <t>1 Prestação</t>
  </si>
  <si>
    <t>ÚLTIMA</t>
  </si>
  <si>
    <t>Prazo Máx. Financ.</t>
  </si>
  <si>
    <t>RENDA</t>
  </si>
  <si>
    <t>PRAZO</t>
  </si>
  <si>
    <t>+</t>
  </si>
  <si>
    <t>=</t>
  </si>
  <si>
    <t>DIA</t>
  </si>
  <si>
    <t>MÊS</t>
  </si>
  <si>
    <t>ANO</t>
  </si>
  <si>
    <t>IDADE EM MESES</t>
  </si>
  <si>
    <t>Quota de Financiamento maxima</t>
  </si>
  <si>
    <t>Subsísidio praticado</t>
  </si>
  <si>
    <t>Valor Maximo do Imóvel no pacote</t>
  </si>
  <si>
    <t>Tipo</t>
  </si>
  <si>
    <t>Código</t>
  </si>
  <si>
    <t>Código Tipo</t>
  </si>
  <si>
    <t>Código Preço de Venda</t>
  </si>
  <si>
    <t>Código Avaliação CAIXA</t>
  </si>
  <si>
    <t>Venda</t>
  </si>
  <si>
    <t>Código Empreendimento</t>
  </si>
  <si>
    <t>Taxa de Administração</t>
  </si>
  <si>
    <t>Salário Isento de Taxa</t>
  </si>
  <si>
    <t>Resposta do simulador</t>
  </si>
  <si>
    <t>Salário do Cliente</t>
  </si>
  <si>
    <t>Código dos dos empreendimentos</t>
  </si>
  <si>
    <t>Código Venda</t>
  </si>
  <si>
    <t>Código Avaliação</t>
  </si>
  <si>
    <t>Planilha de resposta do empreendimento escolhido</t>
  </si>
  <si>
    <t>Tabela de Unidades disponíveis</t>
  </si>
  <si>
    <t>Fluxo de Juros da CAIXA</t>
  </si>
  <si>
    <t>Qual o Valor Máximo do Imóvel no Pacote para esta região?</t>
  </si>
  <si>
    <t>Valor Máximo do imóvel no Pacote</t>
  </si>
  <si>
    <t>Valor Máximo do Pacote</t>
  </si>
  <si>
    <t>Valor Máximo Do Imóvel dentro do Pacote</t>
  </si>
  <si>
    <t>Taxa do Cliente</t>
  </si>
  <si>
    <t>Empresa de Venda:</t>
  </si>
  <si>
    <t>Valor do Imóvel na Tabela:</t>
  </si>
  <si>
    <t>1. INFORMAÇÕES DO CLIENTE</t>
  </si>
  <si>
    <t>a.a.</t>
  </si>
  <si>
    <t>a.m.</t>
  </si>
  <si>
    <t>1.2.  Data nascimento:</t>
  </si>
  <si>
    <t>Prazo Máximo a financiar</t>
  </si>
  <si>
    <t>Data:</t>
  </si>
  <si>
    <t>Código Curva Obra</t>
  </si>
  <si>
    <t>Código Desembolso</t>
  </si>
  <si>
    <t>Mês de Chaves</t>
  </si>
  <si>
    <t>Data Chaves</t>
  </si>
  <si>
    <t>Data Das Chaves</t>
  </si>
  <si>
    <t>1.8. Valor Máximo Financiado:</t>
  </si>
  <si>
    <t>Análise de Crédito</t>
  </si>
  <si>
    <t>Mês</t>
  </si>
  <si>
    <t>Encargos Incorporador</t>
  </si>
  <si>
    <t>Encargos 
CAIXA</t>
  </si>
  <si>
    <t>Período Atual</t>
  </si>
  <si>
    <t>Prazo Para o Término de Obra</t>
  </si>
  <si>
    <t>Parcela Média</t>
  </si>
  <si>
    <t>Resultado</t>
  </si>
  <si>
    <t>Prazo para o 
término da Obra</t>
  </si>
  <si>
    <t>Parcela 
Máxima</t>
  </si>
  <si>
    <t>ENTRADA MÍNIMA</t>
  </si>
  <si>
    <t>Valor do contrato de financiamento com a CAIXA</t>
  </si>
  <si>
    <t>Entrada</t>
  </si>
  <si>
    <t>Botões PV</t>
  </si>
  <si>
    <t>QTDE PARCELAS</t>
  </si>
  <si>
    <t>DATA INICIAL</t>
  </si>
  <si>
    <t>PARCELA</t>
  </si>
  <si>
    <t>VALOR PRESENTE</t>
  </si>
  <si>
    <t>TABELA DE VENDA</t>
  </si>
  <si>
    <t>FINANCIAMENTO</t>
  </si>
  <si>
    <t>INCONSISTÊNCIAS</t>
  </si>
  <si>
    <t>Parcela Média Com Juros CAIXA</t>
  </si>
  <si>
    <t>MÊS DE INÍCIO</t>
  </si>
  <si>
    <t>término da obra</t>
  </si>
  <si>
    <t>3. ANÁLISE DE CRÉDITO</t>
  </si>
  <si>
    <t>Primeira Parcela do Financiamento</t>
  </si>
  <si>
    <t>Última Parcela do
Financiamento</t>
  </si>
  <si>
    <t>Valor Máximo do FGTS</t>
  </si>
  <si>
    <t>Valor Máximo FGTS</t>
  </si>
  <si>
    <t>Prazo Obra</t>
  </si>
  <si>
    <t>PV</t>
  </si>
  <si>
    <t>RESPOSTAS</t>
  </si>
  <si>
    <t>Mês do Repasse Estimado</t>
  </si>
  <si>
    <t>Modelo Correto de análise de Crédito</t>
  </si>
  <si>
    <t>CLT</t>
  </si>
  <si>
    <t>1.4.  Valor do FGTS:</t>
  </si>
  <si>
    <t>Sim</t>
  </si>
  <si>
    <t>Não</t>
  </si>
  <si>
    <t>Serie 1</t>
  </si>
  <si>
    <t>Parcela 1</t>
  </si>
  <si>
    <t xml:space="preserve">Serie 2 </t>
  </si>
  <si>
    <t>Parcela 2</t>
  </si>
  <si>
    <t>Serie 3</t>
  </si>
  <si>
    <t>Parcela 3</t>
  </si>
  <si>
    <t>Serie 4</t>
  </si>
  <si>
    <t>Parcela 4</t>
  </si>
  <si>
    <t>Serie Entrada</t>
  </si>
  <si>
    <t>Parcela Entrada</t>
  </si>
  <si>
    <t>Parcela Chaves</t>
  </si>
  <si>
    <t>PV para Zerar</t>
  </si>
  <si>
    <t>Parcela para zerar PV</t>
  </si>
  <si>
    <t>Apoio</t>
  </si>
  <si>
    <t>2. PROPOSTA DO CLIENTE</t>
  </si>
  <si>
    <t xml:space="preserve">1.3. Renda Familiar Total: </t>
  </si>
  <si>
    <t>1.1  Nome do Cliente:</t>
  </si>
  <si>
    <t>Renda para 
Análise (90%)</t>
  </si>
  <si>
    <t>Prazo Pós Obra</t>
  </si>
  <si>
    <t>Limite máximo de financiamento (REPASSE)</t>
  </si>
  <si>
    <r>
      <t xml:space="preserve">Parcela Média Total </t>
    </r>
    <r>
      <rPr>
        <b/>
        <sz val="14"/>
        <color indexed="10"/>
        <rFont val="Arial"/>
        <family val="2"/>
      </rPr>
      <t>(CAIXA + Incorporador)</t>
    </r>
  </si>
  <si>
    <r>
      <t>Maior Parcela Mensal</t>
    </r>
    <r>
      <rPr>
        <b/>
        <sz val="14"/>
        <color indexed="10"/>
        <rFont val="Arial"/>
        <family val="2"/>
      </rPr>
      <t xml:space="preserve"> (CAIXA + Incorporador)</t>
    </r>
  </si>
  <si>
    <t>Última Parcela de  Encargos CAIXA</t>
  </si>
  <si>
    <t>Parcela Média de Encargos CAIXA</t>
  </si>
  <si>
    <t>somatório de parcelas CAIXA e Incorporador - (Entrada e Chaves)</t>
  </si>
  <si>
    <t>Primeira Parcela de
 Encargos CAIXA</t>
  </si>
  <si>
    <t>Data de Virada da Tabela</t>
  </si>
  <si>
    <t>3. FINANCIAMENTO CAIXA</t>
  </si>
  <si>
    <t>4. PREVISÃO DE ENCARGOS  - DURANTE A OBRA</t>
  </si>
  <si>
    <t>Chaves (valor máximo da poupança)</t>
  </si>
  <si>
    <t>Valor Máximo de Chaves</t>
  </si>
  <si>
    <t xml:space="preserve">TOTAL   </t>
  </si>
  <si>
    <t>Prazo Para Chaves</t>
  </si>
  <si>
    <t>Empreendimento 01</t>
  </si>
  <si>
    <t>Empreendimento 02</t>
  </si>
  <si>
    <t>Empreendimento 03</t>
  </si>
  <si>
    <t>Empreendimento 04</t>
  </si>
  <si>
    <t>Empreendimento 05</t>
  </si>
  <si>
    <t>Empreendimento 06</t>
  </si>
  <si>
    <t>Empreendimento 07</t>
  </si>
  <si>
    <t>Empreendimento 08</t>
  </si>
  <si>
    <t>Empreendimento 09</t>
  </si>
  <si>
    <t>Empreendimento 10</t>
  </si>
  <si>
    <t>Empreendimento 11</t>
  </si>
  <si>
    <t>Empreendimento 12</t>
  </si>
  <si>
    <t>Empreendimento 13</t>
  </si>
  <si>
    <t>Empreendimento 14</t>
  </si>
  <si>
    <t>Data de Mudança de Tabela</t>
  </si>
  <si>
    <t>Empresas de Vendas</t>
  </si>
  <si>
    <t>Zerar PV</t>
  </si>
  <si>
    <t>select</t>
  </si>
  <si>
    <t>zerar PV</t>
  </si>
  <si>
    <t>R$</t>
  </si>
  <si>
    <t>Valor a ser repassado para CAIXA</t>
  </si>
  <si>
    <t>Idade</t>
  </si>
  <si>
    <t>Seguro Morte ou Invalidez</t>
  </si>
  <si>
    <t>Fundo Garantidor (emprego)</t>
  </si>
  <si>
    <t>Idade (meses)</t>
  </si>
  <si>
    <t>Idade Repasse (anos)</t>
  </si>
  <si>
    <t>Taxa (%)</t>
  </si>
  <si>
    <t>Taxa (R$)</t>
  </si>
  <si>
    <t xml:space="preserve">O Cálculo da Taxa leva em conta a idade do cliente no repasse e não na data da venda (incluindo margem de segurança de 2 meses). No Simulador da CAIXA não desconta a taxa do Fundo, pois é optativo, mas na prática todos optam. </t>
  </si>
  <si>
    <t>1.6. Subsídio:</t>
  </si>
  <si>
    <t>% FLUXO</t>
  </si>
  <si>
    <t>Única</t>
  </si>
  <si>
    <t>Zerar PV no Financiamento?</t>
  </si>
  <si>
    <t>não</t>
  </si>
  <si>
    <t>sim</t>
  </si>
  <si>
    <t>Gerente:</t>
  </si>
  <si>
    <t>Teste lógico - Parcela Máxima x Parcela tabela</t>
  </si>
  <si>
    <t>pro-soluto</t>
  </si>
  <si>
    <t>Mensal 1</t>
  </si>
  <si>
    <t>Mensal 2</t>
  </si>
  <si>
    <t>Ok</t>
  </si>
  <si>
    <t>Qualquer  fluxo ou valor diferente do proposto pela tabela de vendas só será válido com autorização da Sec. Vendas</t>
  </si>
  <si>
    <t xml:space="preserve">Desconto </t>
  </si>
  <si>
    <t>TABELA PRICE</t>
  </si>
  <si>
    <t>TABELA SAC</t>
  </si>
  <si>
    <t>mcmv3</t>
  </si>
  <si>
    <t>1.10.  Casa Paulista:</t>
  </si>
  <si>
    <t>ÚNICO SUZANO - TORRE 4 e 6</t>
  </si>
  <si>
    <t>ÚNICO SUZANO - TORRE 5</t>
  </si>
  <si>
    <t>Lançamento</t>
  </si>
  <si>
    <t>Simulador Para Testes</t>
  </si>
  <si>
    <t>Antes Repasse</t>
  </si>
  <si>
    <t>Pró Soluto</t>
  </si>
  <si>
    <t xml:space="preserve">1.7.  Taxa de Juros Nominal: </t>
  </si>
  <si>
    <t>1.8. Prazo de Financiamento Pós Obra:</t>
  </si>
  <si>
    <t>1.10. Valor Máximo de Repasse:</t>
  </si>
  <si>
    <t>1.11. Mensal Máxima:</t>
  </si>
  <si>
    <t>1.12.  Total:</t>
  </si>
  <si>
    <t>FGTS + SUBSÍDIO</t>
  </si>
  <si>
    <t>Bl 1 – Finais  03 e 04  2° ao 17° e Bl 2 - Finais 07 a 08 2° ao 17° - Sol da Manhã</t>
  </si>
  <si>
    <t>Bl 2 – Finais 03 e 04  2° ao 17° e Bl 1 - Finais 07 e 08  2° ao 17° - Sol da Tarde</t>
  </si>
  <si>
    <t>Bl 1 e 2 - 103, 104, 107–  PNE</t>
  </si>
  <si>
    <t>DEZ VISTA ALEGRE - BLOCOS 1 e 2</t>
  </si>
  <si>
    <t>I.NOVA</t>
  </si>
  <si>
    <t>SELLER</t>
  </si>
  <si>
    <t>Bl 2 – Final 06 –  Terreo ao 17° e Bl 1 - Finais 02 e 05 - Terreo ao 17° - Sol da Manhã</t>
  </si>
  <si>
    <t>Bl 2 – Finais 05 –  Terreo ao 17° e Bl 1 - Finais 01 e 06 - Terreo ao 17° - Sol da Tarde</t>
  </si>
  <si>
    <t>Bl 2 - Final 01 - Terreo ao 17° - Sol da Manhã</t>
  </si>
  <si>
    <t>Bl 2- Final 02 - Terreo ao 17° - Sol da Tarde</t>
  </si>
  <si>
    <t>Bloco/Unidade</t>
  </si>
  <si>
    <t>1/101</t>
  </si>
  <si>
    <t>1/102</t>
  </si>
  <si>
    <t>1/103</t>
  </si>
  <si>
    <t>1/104</t>
  </si>
  <si>
    <t>1/105</t>
  </si>
  <si>
    <t>1/106</t>
  </si>
  <si>
    <t>1/201</t>
  </si>
  <si>
    <t>1/202</t>
  </si>
  <si>
    <t>1/203</t>
  </si>
  <si>
    <t>1/204</t>
  </si>
  <si>
    <t>1/205</t>
  </si>
  <si>
    <t>1/206</t>
  </si>
  <si>
    <t>1/207</t>
  </si>
  <si>
    <t>1/208</t>
  </si>
  <si>
    <t>1/301</t>
  </si>
  <si>
    <t>1/302</t>
  </si>
  <si>
    <t>1/303</t>
  </si>
  <si>
    <t>1/304</t>
  </si>
  <si>
    <t>1/305</t>
  </si>
  <si>
    <t>1/306</t>
  </si>
  <si>
    <t>1/307</t>
  </si>
  <si>
    <t>1/308</t>
  </si>
  <si>
    <t>1/401</t>
  </si>
  <si>
    <t>1/402</t>
  </si>
  <si>
    <t>1/403</t>
  </si>
  <si>
    <t>1/404</t>
  </si>
  <si>
    <t>1/405</t>
  </si>
  <si>
    <t>1/406</t>
  </si>
  <si>
    <t>1/407</t>
  </si>
  <si>
    <t>1/408</t>
  </si>
  <si>
    <t>1/501</t>
  </si>
  <si>
    <t>1/502</t>
  </si>
  <si>
    <t>1/503</t>
  </si>
  <si>
    <t>1/504</t>
  </si>
  <si>
    <t>1/505</t>
  </si>
  <si>
    <t>1/506</t>
  </si>
  <si>
    <t>1/507</t>
  </si>
  <si>
    <t>1/508</t>
  </si>
  <si>
    <t>1/601</t>
  </si>
  <si>
    <t>1/602</t>
  </si>
  <si>
    <t>1/603</t>
  </si>
  <si>
    <t>1/604</t>
  </si>
  <si>
    <t>1/605</t>
  </si>
  <si>
    <t>1/606</t>
  </si>
  <si>
    <t>1/607</t>
  </si>
  <si>
    <t>1/608</t>
  </si>
  <si>
    <t>1/701</t>
  </si>
  <si>
    <t>1/702</t>
  </si>
  <si>
    <t>1/703</t>
  </si>
  <si>
    <t>1/704</t>
  </si>
  <si>
    <t>1/705</t>
  </si>
  <si>
    <t>1/706</t>
  </si>
  <si>
    <t>1/707</t>
  </si>
  <si>
    <t>1/708</t>
  </si>
  <si>
    <t>1/801</t>
  </si>
  <si>
    <t>1/802</t>
  </si>
  <si>
    <t>1/803</t>
  </si>
  <si>
    <t>1/804</t>
  </si>
  <si>
    <t>1/805</t>
  </si>
  <si>
    <t>1/806</t>
  </si>
  <si>
    <t>1/807</t>
  </si>
  <si>
    <t>1/808</t>
  </si>
  <si>
    <t>2/101</t>
  </si>
  <si>
    <t>2/102</t>
  </si>
  <si>
    <t>2/103</t>
  </si>
  <si>
    <t>2/104</t>
  </si>
  <si>
    <t>2/105</t>
  </si>
  <si>
    <t>2/201</t>
  </si>
  <si>
    <t>2/202</t>
  </si>
  <si>
    <t>2/203</t>
  </si>
  <si>
    <t>2/204</t>
  </si>
  <si>
    <t>2/205</t>
  </si>
  <si>
    <t>2/206</t>
  </si>
  <si>
    <t>2/207</t>
  </si>
  <si>
    <t>2/208</t>
  </si>
  <si>
    <t>2/301</t>
  </si>
  <si>
    <t>2/302</t>
  </si>
  <si>
    <t>2/303</t>
  </si>
  <si>
    <t>2/304</t>
  </si>
  <si>
    <t>2/305</t>
  </si>
  <si>
    <t>2/306</t>
  </si>
  <si>
    <t>2/307</t>
  </si>
  <si>
    <t>2/308</t>
  </si>
  <si>
    <t>2/401</t>
  </si>
  <si>
    <t>2/402</t>
  </si>
  <si>
    <t>2/403</t>
  </si>
  <si>
    <t>2/404</t>
  </si>
  <si>
    <t>2/405</t>
  </si>
  <si>
    <t>2/406</t>
  </si>
  <si>
    <t>2/407</t>
  </si>
  <si>
    <t>2/408</t>
  </si>
  <si>
    <t>2/501</t>
  </si>
  <si>
    <t>2/502</t>
  </si>
  <si>
    <t>2/503</t>
  </si>
  <si>
    <t>2/504</t>
  </si>
  <si>
    <t>2/505</t>
  </si>
  <si>
    <t>2/506</t>
  </si>
  <si>
    <t>2/507</t>
  </si>
  <si>
    <t>2/508</t>
  </si>
  <si>
    <t>2/601</t>
  </si>
  <si>
    <t>2/602</t>
  </si>
  <si>
    <t>2/603</t>
  </si>
  <si>
    <t>2/604</t>
  </si>
  <si>
    <t>2/605</t>
  </si>
  <si>
    <t>2/606</t>
  </si>
  <si>
    <t>2/607</t>
  </si>
  <si>
    <t>2/608</t>
  </si>
  <si>
    <t>2/701</t>
  </si>
  <si>
    <t>2/702</t>
  </si>
  <si>
    <t>2/703</t>
  </si>
  <si>
    <t>2/704</t>
  </si>
  <si>
    <t>2/705</t>
  </si>
  <si>
    <t>2/706</t>
  </si>
  <si>
    <t>2/707</t>
  </si>
  <si>
    <t>2/708</t>
  </si>
  <si>
    <t>2/801</t>
  </si>
  <si>
    <t>2/802</t>
  </si>
  <si>
    <t>2/803</t>
  </si>
  <si>
    <t>2/804</t>
  </si>
  <si>
    <t>2/805</t>
  </si>
  <si>
    <t>2/806</t>
  </si>
  <si>
    <t>2/807</t>
  </si>
  <si>
    <t>2/808</t>
  </si>
  <si>
    <t>PREENCHER</t>
  </si>
  <si>
    <t>NÃO PREENCHER</t>
  </si>
  <si>
    <t>LEGENDA</t>
  </si>
  <si>
    <t>UNIDADE</t>
  </si>
  <si>
    <t>PREÇO</t>
  </si>
  <si>
    <t>DE VENDA</t>
  </si>
  <si>
    <t>CHAVE</t>
  </si>
  <si>
    <t>BLOCO</t>
  </si>
  <si>
    <t>1.5.1 Qtd Compradores ?</t>
  </si>
  <si>
    <t>1.11. Cliente PMCMV/CCFGTS?</t>
  </si>
  <si>
    <t>Faixa</t>
  </si>
  <si>
    <t>Faixa 70%</t>
  </si>
  <si>
    <t>1.5.3 Carteira assinada (Meses)</t>
  </si>
  <si>
    <t>1.5.2 Comprova dependentes?</t>
  </si>
  <si>
    <t>Lista anuais</t>
  </si>
  <si>
    <t>lançamento</t>
  </si>
  <si>
    <t>entrada</t>
  </si>
  <si>
    <t>mensal</t>
  </si>
  <si>
    <t>início obra</t>
  </si>
  <si>
    <t>AGI</t>
  </si>
  <si>
    <t>1.9. Já possui imóvel próprio?</t>
  </si>
  <si>
    <t>30 Dias</t>
  </si>
  <si>
    <t>CORREÇÃO</t>
  </si>
  <si>
    <t>VALOR 05.2017</t>
  </si>
  <si>
    <t>1/107</t>
  </si>
  <si>
    <t>2/106</t>
  </si>
  <si>
    <t>2/107</t>
  </si>
  <si>
    <t>OBS</t>
  </si>
  <si>
    <t>215000 no oitavo andar do bloco 2, certo?</t>
  </si>
  <si>
    <t>empresa de venda: seller e mais qual?</t>
  </si>
  <si>
    <t>data das chaves</t>
  </si>
  <si>
    <t>Validação parcela anual</t>
  </si>
  <si>
    <t>Pró -Soluto</t>
  </si>
  <si>
    <t>parcela mínima:</t>
  </si>
  <si>
    <t>PROPOSTA CLIENTE SEM ITBI/REGISTRO</t>
  </si>
  <si>
    <t>Exato Rio Grande</t>
  </si>
  <si>
    <t>ITBI</t>
  </si>
  <si>
    <t>REGISTRO</t>
  </si>
  <si>
    <t>Registro</t>
  </si>
  <si>
    <t>ITBI+REGISTRO</t>
  </si>
  <si>
    <t>60 dias</t>
  </si>
  <si>
    <t>90 dias</t>
  </si>
  <si>
    <t>80% de Avaliação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</si>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</sst>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7" formatCode="&quot;R$ &quot;#,##0.00_);\(&quot;R$ &quot;#,##0.00\)"/>
    <numFmt numFmtId="8" formatCode="&quot;R$ &quot;#,##0.00_);[Red]\(&quot;R$ &quot;#,##0.00\)"/>
    <numFmt numFmtId="43" formatCode="_(* #,##0.00_);_(* \(#,##0.00\);_(* &quot;-&quot;??_);_(@_)"/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_-* #,##0_-;\-* #,##0_-;_-* &quot;-&quot;??_-;_-@_-"/>
    <numFmt numFmtId="167" formatCode="0.0000%"/>
    <numFmt numFmtId="168" formatCode="0.000000%"/>
    <numFmt numFmtId="169" formatCode="_([$€-2]* #,##0.00_);_([$€-2]* \(#,##0.00\);_([$€-2]* &quot;-&quot;??_)"/>
    <numFmt numFmtId="170" formatCode="&quot;R$&quot;\ #,##0.00;[Red]&quot;R$&quot;\ \-#,##0.00"/>
    <numFmt numFmtId="171" formatCode="_ * #,##0.00_ ;_ * \-#,##0.00_ ;_ * &quot;-&quot;??_ ;_ @_ "/>
    <numFmt numFmtId="172" formatCode="000000"/>
    <numFmt numFmtId="173" formatCode="_ * #,##0.00000_ ;_ * \-#,##0.00000_ ;_ * &quot;-&quot;?????_ ;_ @_ "/>
    <numFmt numFmtId="174" formatCode="mmm/yyyy"/>
    <numFmt numFmtId="175" formatCode="_-&quot;R$&quot;\ * #,##0_-;\-&quot;R$&quot;\ * #,##0_-;_-&quot;R$&quot;\ * &quot;-&quot;??_-;_-@_-"/>
    <numFmt numFmtId="176" formatCode="&quot;R$ &quot;#,##0.00"/>
    <numFmt numFmtId="177" formatCode="dd/mmm/yyyy"/>
    <numFmt numFmtId="178" formatCode="##&quot; meses&quot;"/>
    <numFmt numFmtId="179" formatCode="0.000%"/>
    <numFmt numFmtId="180" formatCode="0.0%"/>
    <numFmt numFmtId="181" formatCode="0.00000%"/>
  </numFmts>
  <fonts count="9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Verdana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53"/>
      <name val="Arial"/>
      <family val="2"/>
    </font>
    <font>
      <sz val="16"/>
      <color indexed="10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8"/>
      <color indexed="9"/>
      <name val="Arial"/>
      <family val="2"/>
    </font>
    <font>
      <sz val="14"/>
      <color indexed="22"/>
      <name val="Arial"/>
      <family val="2"/>
    </font>
    <font>
      <sz val="10"/>
      <color indexed="51"/>
      <name val="Arial"/>
      <family val="2"/>
    </font>
    <font>
      <sz val="23"/>
      <name val="Arial"/>
      <family val="2"/>
    </font>
    <font>
      <b/>
      <sz val="12"/>
      <color indexed="9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5"/>
      <name val="Arial"/>
      <family val="2"/>
    </font>
    <font>
      <b/>
      <sz val="22"/>
      <color indexed="9"/>
      <name val="Arial"/>
      <family val="2"/>
    </font>
    <font>
      <b/>
      <sz val="16"/>
      <color indexed="10"/>
      <name val="Arial"/>
      <family val="2"/>
    </font>
    <font>
      <b/>
      <sz val="10"/>
      <color indexed="9"/>
      <name val="Arial"/>
      <family val="2"/>
    </font>
    <font>
      <b/>
      <sz val="15"/>
      <color indexed="10"/>
      <name val="Arial"/>
      <family val="2"/>
    </font>
    <font>
      <b/>
      <sz val="15"/>
      <name val="Arial"/>
      <family val="2"/>
    </font>
    <font>
      <b/>
      <sz val="12"/>
      <color indexed="2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5"/>
      <color indexed="16"/>
      <name val="Arial"/>
      <family val="2"/>
    </font>
    <font>
      <b/>
      <sz val="16"/>
      <color indexed="60"/>
      <name val="Arial"/>
      <family val="2"/>
    </font>
    <font>
      <b/>
      <sz val="10"/>
      <color indexed="60"/>
      <name val="Arial"/>
      <family val="2"/>
    </font>
    <font>
      <b/>
      <sz val="12"/>
      <color indexed="60"/>
      <name val="Arial"/>
      <family val="2"/>
    </font>
    <font>
      <sz val="10"/>
      <color indexed="60"/>
      <name val="Arial"/>
      <family val="2"/>
    </font>
    <font>
      <b/>
      <sz val="16"/>
      <color indexed="2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2"/>
      <color indexed="43"/>
      <name val="Arial"/>
      <family val="2"/>
    </font>
    <font>
      <b/>
      <u/>
      <sz val="16"/>
      <name val="Arial"/>
      <family val="2"/>
    </font>
    <font>
      <b/>
      <sz val="16"/>
      <color indexed="43"/>
      <name val="Arial"/>
      <family val="2"/>
    </font>
    <font>
      <sz val="11"/>
      <color theme="1"/>
      <name val="Calibri"/>
      <family val="2"/>
      <scheme val="minor"/>
    </font>
    <font>
      <b/>
      <sz val="16"/>
      <color theme="9" tint="-0.49998474074526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5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6"/>
      <color theme="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0"/>
      <color rgb="FF00B0F0"/>
      <name val="Arial"/>
      <family val="2"/>
    </font>
    <font>
      <b/>
      <sz val="18"/>
      <color theme="0"/>
      <name val="Arial"/>
      <family val="2"/>
    </font>
    <font>
      <b/>
      <sz val="36"/>
      <color rgb="FFFF0000"/>
      <name val="Arial"/>
      <family val="2"/>
    </font>
    <font>
      <sz val="20"/>
      <color theme="0"/>
      <name val="Arial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FF0000"/>
      <name val="Arial"/>
      <family val="2"/>
    </font>
    <font>
      <sz val="14"/>
      <color indexed="9"/>
      <name val="Arial"/>
      <family val="2"/>
    </font>
    <font>
      <b/>
      <sz val="14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39997558519241921"/>
        <bgColor indexed="27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medium">
        <color indexed="16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/>
      <bottom style="thin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2">
    <xf numFmtId="0" fontId="0" fillId="0" borderId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0" fillId="0" borderId="2" applyNumberFormat="0" applyFill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0" fontId="1" fillId="0" borderId="3" xfId="4" applyNumberFormat="1" applyBorder="1" applyAlignment="1">
      <alignment horizontal="center"/>
    </xf>
    <xf numFmtId="0" fontId="0" fillId="0" borderId="3" xfId="0" applyBorder="1" applyProtection="1"/>
    <xf numFmtId="0" fontId="0" fillId="0" borderId="0" xfId="0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9" fontId="0" fillId="3" borderId="3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3" xfId="0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66" fontId="1" fillId="0" borderId="0" xfId="10" applyNumberFormat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165" fontId="1" fillId="0" borderId="3" xfId="10" applyNumberFormat="1" applyBorder="1" applyAlignment="1">
      <alignment horizontal="center" vertical="center"/>
    </xf>
    <xf numFmtId="165" fontId="1" fillId="0" borderId="3" xfId="10" applyNumberFormat="1" applyBorder="1" applyAlignment="1">
      <alignment horizontal="center" vertical="center" wrapText="1"/>
    </xf>
    <xf numFmtId="165" fontId="1" fillId="0" borderId="3" xfId="10" applyNumberFormat="1" applyBorder="1" applyAlignment="1">
      <alignment vertical="center" wrapText="1"/>
    </xf>
    <xf numFmtId="14" fontId="0" fillId="0" borderId="3" xfId="0" applyNumberFormat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center"/>
    </xf>
    <xf numFmtId="165" fontId="1" fillId="0" borderId="12" xfId="10" applyNumberFormat="1" applyBorder="1" applyAlignment="1">
      <alignment horizontal="center" vertical="center"/>
    </xf>
    <xf numFmtId="0" fontId="0" fillId="2" borderId="11" xfId="0" applyFill="1" applyBorder="1" applyAlignment="1">
      <alignment horizontal="right" vertical="center" wrapText="1"/>
    </xf>
    <xf numFmtId="165" fontId="1" fillId="0" borderId="12" xfId="10" applyNumberFormat="1" applyBorder="1" applyAlignment="1">
      <alignment horizontal="center" vertical="center" wrapText="1"/>
    </xf>
    <xf numFmtId="165" fontId="1" fillId="0" borderId="12" xfId="10" applyNumberFormat="1" applyBorder="1" applyAlignment="1">
      <alignment vertical="center" wrapText="1"/>
    </xf>
    <xf numFmtId="0" fontId="0" fillId="0" borderId="8" xfId="0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0" borderId="14" xfId="0" applyNumberFormat="1" applyBorder="1" applyAlignment="1">
      <alignment vertical="center"/>
    </xf>
    <xf numFmtId="10" fontId="1" fillId="0" borderId="14" xfId="4" applyNumberForma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6" fontId="4" fillId="2" borderId="3" xfId="1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10" fontId="0" fillId="2" borderId="4" xfId="0" applyNumberForma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/>
    </xf>
    <xf numFmtId="43" fontId="0" fillId="2" borderId="4" xfId="0" applyNumberFormat="1" applyFill="1" applyBorder="1" applyAlignment="1">
      <alignment vertical="center"/>
    </xf>
    <xf numFmtId="10" fontId="1" fillId="2" borderId="3" xfId="4" applyNumberFormat="1" applyFill="1" applyBorder="1" applyAlignment="1">
      <alignment horizontal="center" vertical="center"/>
    </xf>
    <xf numFmtId="9" fontId="1" fillId="2" borderId="3" xfId="4" applyNumberFormat="1" applyFill="1" applyBorder="1" applyAlignment="1">
      <alignment horizontal="center" vertical="center"/>
    </xf>
    <xf numFmtId="166" fontId="1" fillId="2" borderId="3" xfId="10" applyNumberFormat="1" applyFill="1" applyBorder="1" applyAlignment="1">
      <alignment vertical="center"/>
    </xf>
    <xf numFmtId="0" fontId="0" fillId="0" borderId="0" xfId="0" applyFill="1" applyBorder="1" applyAlignment="1" applyProtection="1"/>
    <xf numFmtId="0" fontId="29" fillId="2" borderId="0" xfId="0" applyFont="1" applyFill="1" applyAlignment="1" applyProtection="1">
      <alignment vertical="center"/>
    </xf>
    <xf numFmtId="0" fontId="0" fillId="0" borderId="0" xfId="0" applyBorder="1" applyAlignment="1">
      <alignment horizontal="left" vertical="center"/>
    </xf>
    <xf numFmtId="165" fontId="0" fillId="0" borderId="0" xfId="10" applyFont="1" applyBorder="1" applyAlignment="1">
      <alignment horizontal="left" vertical="center"/>
    </xf>
    <xf numFmtId="14" fontId="0" fillId="2" borderId="3" xfId="0" applyNumberForma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" xfId="10" applyNumberFormat="1" applyFont="1" applyFill="1" applyBorder="1" applyAlignment="1">
      <alignment horizontal="center" vertical="center"/>
    </xf>
    <xf numFmtId="165" fontId="0" fillId="0" borderId="19" xfId="10" applyNumberFormat="1" applyFont="1" applyFill="1" applyBorder="1" applyAlignment="1" applyProtection="1">
      <alignment vertical="center"/>
    </xf>
    <xf numFmtId="10" fontId="0" fillId="0" borderId="20" xfId="4" applyNumberFormat="1" applyFont="1" applyFill="1" applyBorder="1" applyAlignment="1" applyProtection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166" fontId="0" fillId="4" borderId="3" xfId="10" applyNumberFormat="1" applyFont="1" applyFill="1" applyBorder="1" applyAlignment="1">
      <alignment horizontal="left" vertical="center"/>
    </xf>
    <xf numFmtId="1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166" fontId="0" fillId="4" borderId="3" xfId="10" applyNumberFormat="1" applyFont="1" applyFill="1" applyBorder="1" applyAlignment="1">
      <alignment horizontal="left" vertical="center" wrapText="1"/>
    </xf>
    <xf numFmtId="165" fontId="0" fillId="4" borderId="3" xfId="10" applyFont="1" applyFill="1" applyBorder="1" applyAlignment="1">
      <alignment horizontal="left" vertical="center"/>
    </xf>
    <xf numFmtId="0" fontId="0" fillId="2" borderId="0" xfId="0" applyFill="1" applyAlignment="1" applyProtection="1">
      <alignment vertical="center"/>
    </xf>
    <xf numFmtId="0" fontId="16" fillId="2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0" fillId="3" borderId="0" xfId="0" applyFill="1" applyAlignment="1" applyProtection="1">
      <alignment horizontal="right" vertical="center"/>
    </xf>
    <xf numFmtId="0" fontId="27" fillId="3" borderId="0" xfId="0" applyFont="1" applyFill="1" applyAlignment="1" applyProtection="1">
      <alignment horizontal="right" vertical="center"/>
    </xf>
    <xf numFmtId="0" fontId="27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right" vertical="center"/>
    </xf>
    <xf numFmtId="166" fontId="4" fillId="2" borderId="3" xfId="10" applyNumberFormat="1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34" fillId="2" borderId="0" xfId="0" applyFont="1" applyFill="1" applyAlignment="1" applyProtection="1">
      <alignment horizontal="lef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center" vertical="center"/>
    </xf>
    <xf numFmtId="165" fontId="0" fillId="2" borderId="3" xfId="10" applyNumberFormat="1" applyFont="1" applyFill="1" applyBorder="1" applyAlignment="1" applyProtection="1">
      <alignment horizontal="center" vertical="center"/>
    </xf>
    <xf numFmtId="165" fontId="0" fillId="2" borderId="0" xfId="10" applyFont="1" applyFill="1" applyBorder="1" applyAlignment="1" applyProtection="1">
      <alignment vertical="center"/>
    </xf>
    <xf numFmtId="0" fontId="34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horizontal="right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164" fontId="24" fillId="2" borderId="0" xfId="2" applyFont="1" applyFill="1" applyAlignment="1" applyProtection="1">
      <alignment vertical="center"/>
    </xf>
    <xf numFmtId="164" fontId="16" fillId="2" borderId="0" xfId="2" applyFont="1" applyFill="1" applyAlignment="1" applyProtection="1">
      <alignment vertical="center"/>
    </xf>
    <xf numFmtId="2" fontId="16" fillId="2" borderId="0" xfId="0" applyNumberFormat="1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 wrapText="1"/>
    </xf>
    <xf numFmtId="0" fontId="21" fillId="2" borderId="0" xfId="0" applyFont="1" applyFill="1" applyAlignment="1" applyProtection="1">
      <alignment vertical="center"/>
    </xf>
    <xf numFmtId="165" fontId="0" fillId="2" borderId="0" xfId="0" applyNumberFormat="1" applyFill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165" fontId="37" fillId="2" borderId="0" xfId="1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 applyProtection="1">
      <alignment vertical="center"/>
    </xf>
    <xf numFmtId="165" fontId="37" fillId="2" borderId="0" xfId="10" applyFont="1" applyFill="1" applyBorder="1" applyAlignment="1" applyProtection="1">
      <alignment horizontal="center" vertical="center"/>
    </xf>
    <xf numFmtId="165" fontId="11" fillId="2" borderId="23" xfId="10" applyFont="1" applyFill="1" applyBorder="1" applyAlignment="1" applyProtection="1">
      <alignment horizontal="center" vertical="center"/>
    </xf>
    <xf numFmtId="165" fontId="36" fillId="2" borderId="0" xfId="1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vertical="center" wrapText="1"/>
    </xf>
    <xf numFmtId="0" fontId="34" fillId="2" borderId="24" xfId="0" applyFont="1" applyFill="1" applyBorder="1" applyAlignment="1" applyProtection="1">
      <alignment vertical="center" wrapText="1"/>
    </xf>
    <xf numFmtId="0" fontId="34" fillId="2" borderId="23" xfId="0" applyFont="1" applyFill="1" applyBorder="1" applyAlignment="1" applyProtection="1">
      <alignment vertical="center" wrapText="1"/>
    </xf>
    <xf numFmtId="0" fontId="0" fillId="2" borderId="25" xfId="0" applyFill="1" applyBorder="1" applyAlignment="1" applyProtection="1">
      <alignment vertical="center"/>
    </xf>
    <xf numFmtId="0" fontId="0" fillId="2" borderId="26" xfId="0" applyFill="1" applyBorder="1" applyAlignment="1" applyProtection="1">
      <alignment vertical="center"/>
    </xf>
    <xf numFmtId="0" fontId="43" fillId="2" borderId="0" xfId="0" applyFont="1" applyFill="1" applyAlignment="1" applyProtection="1">
      <alignment vertical="center"/>
    </xf>
    <xf numFmtId="0" fontId="0" fillId="2" borderId="27" xfId="0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36" fillId="2" borderId="24" xfId="0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wrapText="1"/>
    </xf>
    <xf numFmtId="165" fontId="19" fillId="2" borderId="0" xfId="10" applyNumberFormat="1" applyFont="1" applyFill="1" applyAlignment="1" applyProtection="1">
      <alignment vertical="center"/>
    </xf>
    <xf numFmtId="0" fontId="23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41" fillId="2" borderId="0" xfId="0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vertical="center"/>
    </xf>
    <xf numFmtId="0" fontId="4" fillId="5" borderId="0" xfId="0" applyFont="1" applyFill="1" applyBorder="1" applyAlignment="1" applyProtection="1">
      <alignment horizontal="center" vertical="center"/>
    </xf>
    <xf numFmtId="10" fontId="0" fillId="2" borderId="4" xfId="0" applyNumberForma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center" vertical="center"/>
    </xf>
    <xf numFmtId="0" fontId="36" fillId="2" borderId="24" xfId="0" applyFont="1" applyFill="1" applyBorder="1" applyAlignment="1" applyProtection="1">
      <alignment horizontal="center" vertical="center"/>
    </xf>
    <xf numFmtId="43" fontId="0" fillId="2" borderId="4" xfId="0" applyNumberForma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horizontal="center" vertical="center"/>
    </xf>
    <xf numFmtId="0" fontId="34" fillId="2" borderId="24" xfId="0" applyFont="1" applyFill="1" applyBorder="1" applyAlignment="1" applyProtection="1">
      <alignment vertical="center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2" fillId="2" borderId="0" xfId="0" applyFont="1" applyFill="1" applyAlignment="1" applyProtection="1">
      <alignment vertical="center"/>
    </xf>
    <xf numFmtId="10" fontId="1" fillId="2" borderId="3" xfId="4" applyNumberFormat="1" applyFill="1" applyBorder="1" applyAlignment="1" applyProtection="1">
      <alignment horizontal="center" vertical="center"/>
    </xf>
    <xf numFmtId="9" fontId="1" fillId="2" borderId="3" xfId="4" applyNumberFormat="1" applyFill="1" applyBorder="1" applyAlignment="1" applyProtection="1">
      <alignment horizontal="center" vertical="center"/>
    </xf>
    <xf numFmtId="166" fontId="1" fillId="2" borderId="3" xfId="10" applyNumberForma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0" fontId="38" fillId="2" borderId="25" xfId="0" applyFont="1" applyFill="1" applyBorder="1" applyAlignment="1" applyProtection="1">
      <alignment vertical="center"/>
    </xf>
    <xf numFmtId="0" fontId="32" fillId="2" borderId="0" xfId="0" applyFont="1" applyFill="1" applyAlignment="1" applyProtection="1">
      <alignment vertical="center"/>
    </xf>
    <xf numFmtId="0" fontId="36" fillId="2" borderId="0" xfId="0" applyFont="1" applyFill="1" applyAlignment="1" applyProtection="1">
      <alignment vertical="center" wrapText="1"/>
    </xf>
    <xf numFmtId="0" fontId="13" fillId="2" borderId="0" xfId="0" applyFont="1" applyFill="1" applyAlignment="1" applyProtection="1">
      <alignment vertical="center"/>
    </xf>
    <xf numFmtId="0" fontId="32" fillId="2" borderId="0" xfId="0" applyFont="1" applyFill="1" applyAlignment="1" applyProtection="1">
      <alignment vertical="center" wrapText="1"/>
    </xf>
    <xf numFmtId="164" fontId="27" fillId="2" borderId="0" xfId="2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164" fontId="27" fillId="2" borderId="0" xfId="2" applyNumberFormat="1" applyFont="1" applyFill="1" applyAlignment="1" applyProtection="1">
      <alignment vertical="center"/>
    </xf>
    <xf numFmtId="164" fontId="27" fillId="2" borderId="0" xfId="0" applyNumberFormat="1" applyFont="1" applyFill="1" applyAlignment="1" applyProtection="1">
      <alignment vertical="center"/>
    </xf>
    <xf numFmtId="164" fontId="28" fillId="2" borderId="0" xfId="2" applyFont="1" applyFill="1" applyAlignment="1" applyProtection="1">
      <alignment horizontal="center" vertical="center"/>
    </xf>
    <xf numFmtId="175" fontId="28" fillId="2" borderId="0" xfId="2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 wrapText="1"/>
    </xf>
    <xf numFmtId="0" fontId="37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 wrapText="1"/>
    </xf>
    <xf numFmtId="175" fontId="0" fillId="2" borderId="0" xfId="0" applyNumberFormat="1" applyFill="1" applyAlignment="1" applyProtection="1">
      <alignment vertical="center"/>
    </xf>
    <xf numFmtId="0" fontId="0" fillId="6" borderId="3" xfId="0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166" fontId="0" fillId="0" borderId="0" xfId="10" applyNumberFormat="1" applyFont="1" applyAlignment="1" applyProtection="1">
      <alignment vertical="center" wrapText="1"/>
    </xf>
    <xf numFmtId="10" fontId="0" fillId="0" borderId="0" xfId="4" applyNumberFormat="1" applyFont="1" applyAlignment="1" applyProtection="1">
      <alignment vertical="center" wrapText="1"/>
    </xf>
    <xf numFmtId="166" fontId="4" fillId="0" borderId="29" xfId="10" applyNumberFormat="1" applyFont="1" applyBorder="1" applyAlignment="1" applyProtection="1">
      <alignment horizontal="center" vertical="center" wrapText="1"/>
    </xf>
    <xf numFmtId="166" fontId="0" fillId="0" borderId="3" xfId="10" applyNumberFormat="1" applyFont="1" applyBorder="1" applyAlignment="1" applyProtection="1">
      <alignment horizontal="center" vertical="center" wrapText="1"/>
    </xf>
    <xf numFmtId="10" fontId="0" fillId="0" borderId="3" xfId="4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6" fontId="0" fillId="5" borderId="20" xfId="10" applyNumberFormat="1" applyFont="1" applyFill="1" applyBorder="1" applyAlignment="1" applyProtection="1">
      <alignment horizontal="center" vertical="center" wrapText="1"/>
    </xf>
    <xf numFmtId="165" fontId="5" fillId="0" borderId="3" xfId="10" applyFont="1" applyBorder="1" applyAlignment="1" applyProtection="1">
      <alignment vertical="center" wrapText="1"/>
    </xf>
    <xf numFmtId="166" fontId="5" fillId="0" borderId="3" xfId="10" applyNumberFormat="1" applyFont="1" applyBorder="1" applyAlignment="1" applyProtection="1">
      <alignment vertical="center" wrapText="1"/>
    </xf>
    <xf numFmtId="166" fontId="1" fillId="5" borderId="3" xfId="10" applyNumberFormat="1" applyFill="1" applyBorder="1" applyAlignment="1" applyProtection="1">
      <alignment vertical="center" wrapText="1"/>
    </xf>
    <xf numFmtId="166" fontId="1" fillId="0" borderId="20" xfId="10" applyNumberFormat="1" applyFill="1" applyBorder="1" applyAlignment="1" applyProtection="1">
      <alignment vertical="center" wrapText="1"/>
    </xf>
    <xf numFmtId="165" fontId="2" fillId="7" borderId="30" xfId="10" applyFont="1" applyFill="1" applyBorder="1" applyAlignment="1" applyProtection="1">
      <alignment horizontal="center" vertical="center"/>
    </xf>
    <xf numFmtId="165" fontId="2" fillId="7" borderId="31" xfId="10" applyFont="1" applyFill="1" applyBorder="1" applyAlignment="1" applyProtection="1">
      <alignment horizontal="center" vertical="center"/>
    </xf>
    <xf numFmtId="165" fontId="2" fillId="7" borderId="32" xfId="10" applyFont="1" applyFill="1" applyBorder="1" applyAlignment="1" applyProtection="1">
      <alignment horizontal="center" vertical="center"/>
    </xf>
    <xf numFmtId="165" fontId="2" fillId="7" borderId="6" xfId="10" applyFont="1" applyFill="1" applyBorder="1" applyAlignment="1" applyProtection="1">
      <alignment horizontal="center" vertical="center"/>
    </xf>
    <xf numFmtId="165" fontId="2" fillId="7" borderId="33" xfId="10" applyFont="1" applyFill="1" applyBorder="1" applyAlignment="1" applyProtection="1">
      <alignment horizontal="center" vertical="center"/>
    </xf>
    <xf numFmtId="0" fontId="15" fillId="8" borderId="15" xfId="0" applyFont="1" applyFill="1" applyBorder="1" applyAlignment="1" applyProtection="1">
      <alignment horizontal="center" vertical="center"/>
    </xf>
    <xf numFmtId="9" fontId="4" fillId="0" borderId="0" xfId="4" applyFont="1" applyAlignment="1" applyProtection="1">
      <alignment vertical="center" wrapText="1"/>
    </xf>
    <xf numFmtId="166" fontId="9" fillId="0" borderId="3" xfId="1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165" fontId="0" fillId="0" borderId="11" xfId="10" applyFont="1" applyBorder="1" applyAlignment="1" applyProtection="1">
      <alignment vertical="center"/>
    </xf>
    <xf numFmtId="165" fontId="0" fillId="0" borderId="3" xfId="10" applyFont="1" applyBorder="1" applyAlignment="1" applyProtection="1">
      <alignment vertical="center"/>
    </xf>
    <xf numFmtId="165" fontId="0" fillId="0" borderId="12" xfId="10" applyFont="1" applyBorder="1" applyAlignment="1" applyProtection="1">
      <alignment horizontal="center" vertical="center"/>
    </xf>
    <xf numFmtId="165" fontId="0" fillId="0" borderId="33" xfId="1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3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5" borderId="36" xfId="0" applyFill="1" applyBorder="1" applyAlignment="1" applyProtection="1">
      <alignment vertical="center"/>
    </xf>
    <xf numFmtId="166" fontId="0" fillId="0" borderId="3" xfId="10" applyNumberFormat="1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166" fontId="1" fillId="0" borderId="3" xfId="10" applyNumberFormat="1" applyBorder="1" applyAlignment="1" applyProtection="1">
      <alignment vertical="center" wrapText="1"/>
    </xf>
    <xf numFmtId="0" fontId="0" fillId="0" borderId="17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 wrapText="1"/>
    </xf>
    <xf numFmtId="165" fontId="0" fillId="0" borderId="3" xfId="10" applyFont="1" applyBorder="1" applyAlignment="1" applyProtection="1">
      <alignment vertical="center" wrapText="1"/>
    </xf>
    <xf numFmtId="165" fontId="0" fillId="0" borderId="12" xfId="10" applyFont="1" applyBorder="1" applyAlignment="1" applyProtection="1">
      <alignment vertical="center"/>
    </xf>
    <xf numFmtId="165" fontId="0" fillId="0" borderId="33" xfId="10" applyFont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0" fillId="0" borderId="3" xfId="0" applyBorder="1" applyAlignment="1" applyProtection="1">
      <alignment horizontal="right" vertical="center" wrapText="1"/>
    </xf>
    <xf numFmtId="165" fontId="2" fillId="7" borderId="11" xfId="10" applyFont="1" applyFill="1" applyBorder="1" applyAlignment="1" applyProtection="1">
      <alignment horizontal="center" vertical="center"/>
    </xf>
    <xf numFmtId="165" fontId="2" fillId="7" borderId="3" xfId="10" applyFont="1" applyFill="1" applyBorder="1" applyAlignment="1" applyProtection="1">
      <alignment horizontal="center" vertical="center"/>
    </xf>
    <xf numFmtId="165" fontId="2" fillId="7" borderId="12" xfId="10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vertical="center"/>
    </xf>
    <xf numFmtId="9" fontId="0" fillId="3" borderId="11" xfId="0" applyNumberFormat="1" applyFill="1" applyBorder="1" applyAlignment="1" applyProtection="1">
      <alignment horizontal="center" vertical="center"/>
    </xf>
    <xf numFmtId="9" fontId="0" fillId="3" borderId="3" xfId="0" applyNumberFormat="1" applyFill="1" applyBorder="1" applyAlignment="1" applyProtection="1">
      <alignment horizontal="center" vertical="center"/>
    </xf>
    <xf numFmtId="9" fontId="0" fillId="3" borderId="33" xfId="0" applyNumberFormat="1" applyFill="1" applyBorder="1" applyAlignment="1" applyProtection="1">
      <alignment vertical="center"/>
    </xf>
    <xf numFmtId="166" fontId="0" fillId="0" borderId="3" xfId="10" applyNumberFormat="1" applyFont="1" applyBorder="1" applyAlignment="1" applyProtection="1">
      <alignment horizontal="right" vertical="center" wrapText="1"/>
    </xf>
    <xf numFmtId="166" fontId="0" fillId="5" borderId="20" xfId="10" applyNumberFormat="1" applyFont="1" applyFill="1" applyBorder="1" applyAlignment="1" applyProtection="1">
      <alignment vertical="center" wrapText="1"/>
    </xf>
    <xf numFmtId="165" fontId="0" fillId="0" borderId="33" xfId="10" applyFont="1" applyBorder="1" applyAlignment="1" applyProtection="1">
      <alignment vertical="center" wrapText="1"/>
    </xf>
    <xf numFmtId="10" fontId="5" fillId="0" borderId="3" xfId="0" applyNumberFormat="1" applyFont="1" applyBorder="1" applyAlignment="1" applyProtection="1">
      <alignment vertical="center" wrapText="1"/>
    </xf>
    <xf numFmtId="166" fontId="0" fillId="0" borderId="20" xfId="1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166" fontId="0" fillId="0" borderId="0" xfId="10" applyNumberFormat="1" applyFont="1" applyFill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</xf>
    <xf numFmtId="165" fontId="2" fillId="0" borderId="3" xfId="10" applyFont="1" applyFill="1" applyBorder="1" applyAlignment="1" applyProtection="1">
      <alignment vertical="center"/>
    </xf>
    <xf numFmtId="165" fontId="0" fillId="0" borderId="3" xfId="10" applyFont="1" applyFill="1" applyBorder="1" applyAlignment="1" applyProtection="1">
      <alignment vertical="center"/>
    </xf>
    <xf numFmtId="166" fontId="4" fillId="0" borderId="39" xfId="10" applyNumberFormat="1" applyFont="1" applyBorder="1" applyAlignment="1" applyProtection="1">
      <alignment vertical="center" wrapText="1"/>
    </xf>
    <xf numFmtId="0" fontId="16" fillId="2" borderId="3" xfId="0" applyFont="1" applyFill="1" applyBorder="1" applyAlignment="1" applyProtection="1">
      <alignment vertical="center"/>
    </xf>
    <xf numFmtId="9" fontId="0" fillId="0" borderId="3" xfId="0" applyNumberFormat="1" applyFill="1" applyBorder="1" applyAlignment="1" applyProtection="1">
      <alignment vertical="center"/>
    </xf>
    <xf numFmtId="0" fontId="22" fillId="9" borderId="4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" fontId="22" fillId="9" borderId="4" xfId="10" applyNumberFormat="1" applyFont="1" applyFill="1" applyBorder="1" applyAlignment="1" applyProtection="1">
      <alignment vertical="center"/>
    </xf>
    <xf numFmtId="1" fontId="22" fillId="0" borderId="0" xfId="10" applyNumberFormat="1" applyFont="1" applyFill="1" applyBorder="1" applyAlignment="1" applyProtection="1">
      <alignment vertical="center"/>
    </xf>
    <xf numFmtId="165" fontId="2" fillId="7" borderId="3" xfId="10" applyFont="1" applyFill="1" applyBorder="1" applyAlignment="1" applyProtection="1">
      <alignment vertical="center"/>
    </xf>
    <xf numFmtId="166" fontId="0" fillId="10" borderId="3" xfId="10" applyNumberFormat="1" applyFont="1" applyFill="1" applyBorder="1" applyAlignment="1" applyProtection="1">
      <alignment vertical="center"/>
    </xf>
    <xf numFmtId="166" fontId="0" fillId="10" borderId="20" xfId="10" applyNumberFormat="1" applyFont="1" applyFill="1" applyBorder="1" applyAlignment="1" applyProtection="1">
      <alignment vertical="center"/>
    </xf>
    <xf numFmtId="165" fontId="0" fillId="0" borderId="3" xfId="0" applyNumberFormat="1" applyBorder="1" applyAlignment="1" applyProtection="1">
      <alignment vertical="center"/>
    </xf>
    <xf numFmtId="43" fontId="0" fillId="0" borderId="3" xfId="0" applyNumberFormat="1" applyBorder="1" applyAlignment="1" applyProtection="1">
      <alignment vertical="center"/>
    </xf>
    <xf numFmtId="0" fontId="0" fillId="9" borderId="4" xfId="0" applyFill="1" applyBorder="1" applyAlignment="1" applyProtection="1">
      <alignment vertical="center"/>
    </xf>
    <xf numFmtId="165" fontId="2" fillId="7" borderId="20" xfId="10" applyFont="1" applyFill="1" applyBorder="1" applyAlignment="1" applyProtection="1">
      <alignment horizontal="center" vertical="center"/>
    </xf>
    <xf numFmtId="43" fontId="4" fillId="0" borderId="3" xfId="0" applyNumberFormat="1" applyFont="1" applyBorder="1" applyAlignment="1" applyProtection="1">
      <alignment vertical="center" wrapText="1"/>
    </xf>
    <xf numFmtId="165" fontId="5" fillId="0" borderId="3" xfId="0" applyNumberFormat="1" applyFont="1" applyBorder="1" applyAlignment="1" applyProtection="1">
      <alignment vertical="center" wrapText="1"/>
    </xf>
    <xf numFmtId="166" fontId="0" fillId="0" borderId="20" xfId="10" applyNumberFormat="1" applyFont="1" applyBorder="1" applyAlignment="1" applyProtection="1">
      <alignment vertical="center" wrapText="1"/>
    </xf>
    <xf numFmtId="166" fontId="0" fillId="0" borderId="39" xfId="10" applyNumberFormat="1" applyFont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166" fontId="4" fillId="0" borderId="0" xfId="10" applyNumberFormat="1" applyFont="1" applyAlignment="1" applyProtection="1">
      <alignment vertical="center" wrapText="1"/>
    </xf>
    <xf numFmtId="166" fontId="4" fillId="0" borderId="20" xfId="10" applyNumberFormat="1" applyFont="1" applyBorder="1" applyAlignment="1" applyProtection="1">
      <alignment vertical="center" wrapText="1"/>
    </xf>
    <xf numFmtId="166" fontId="4" fillId="5" borderId="20" xfId="10" applyNumberFormat="1" applyFont="1" applyFill="1" applyBorder="1" applyAlignment="1" applyProtection="1">
      <alignment vertical="center" wrapText="1"/>
    </xf>
    <xf numFmtId="0" fontId="4" fillId="5" borderId="3" xfId="0" applyFont="1" applyFill="1" applyBorder="1" applyAlignment="1" applyProtection="1">
      <alignment vertical="center" wrapText="1"/>
    </xf>
    <xf numFmtId="166" fontId="0" fillId="5" borderId="3" xfId="10" applyNumberFormat="1" applyFont="1" applyFill="1" applyBorder="1" applyAlignment="1" applyProtection="1">
      <alignment vertical="center" wrapText="1"/>
    </xf>
    <xf numFmtId="166" fontId="4" fillId="0" borderId="0" xfId="0" applyNumberFormat="1" applyFont="1" applyAlignment="1" applyProtection="1">
      <alignment vertical="center" wrapText="1"/>
    </xf>
    <xf numFmtId="166" fontId="0" fillId="0" borderId="40" xfId="10" applyNumberFormat="1" applyFont="1" applyBorder="1" applyAlignment="1" applyProtection="1">
      <alignment vertical="center" wrapText="1"/>
    </xf>
    <xf numFmtId="0" fontId="19" fillId="3" borderId="41" xfId="0" applyFont="1" applyFill="1" applyBorder="1" applyAlignment="1" applyProtection="1">
      <alignment vertical="center"/>
    </xf>
    <xf numFmtId="0" fontId="25" fillId="11" borderId="42" xfId="0" applyFont="1" applyFill="1" applyBorder="1" applyAlignment="1" applyProtection="1">
      <alignment horizontal="center" vertical="center"/>
    </xf>
    <xf numFmtId="165" fontId="19" fillId="2" borderId="42" xfId="10" applyNumberFormat="1" applyFont="1" applyFill="1" applyBorder="1" applyAlignment="1" applyProtection="1">
      <alignment vertical="center"/>
    </xf>
    <xf numFmtId="0" fontId="46" fillId="2" borderId="0" xfId="0" applyFont="1" applyFill="1" applyAlignment="1" applyProtection="1">
      <alignment vertical="center"/>
    </xf>
    <xf numFmtId="14" fontId="0" fillId="2" borderId="3" xfId="0" applyNumberFormat="1" applyFill="1" applyBorder="1" applyAlignment="1" applyProtection="1">
      <alignment vertical="center"/>
    </xf>
    <xf numFmtId="9" fontId="0" fillId="0" borderId="3" xfId="0" applyNumberFormat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/>
    </xf>
    <xf numFmtId="0" fontId="28" fillId="12" borderId="43" xfId="0" applyFont="1" applyFill="1" applyBorder="1" applyAlignment="1" applyProtection="1">
      <alignment horizontal="center" vertical="center"/>
      <protection locked="0"/>
    </xf>
    <xf numFmtId="0" fontId="28" fillId="12" borderId="44" xfId="0" applyFont="1" applyFill="1" applyBorder="1" applyAlignment="1" applyProtection="1">
      <alignment horizontal="center" vertical="center"/>
      <protection locked="0"/>
    </xf>
    <xf numFmtId="0" fontId="28" fillId="12" borderId="45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</xf>
    <xf numFmtId="0" fontId="16" fillId="4" borderId="0" xfId="0" applyFont="1" applyFill="1" applyAlignment="1" applyProtection="1">
      <alignment horizontal="left" vertical="center"/>
    </xf>
    <xf numFmtId="0" fontId="48" fillId="2" borderId="0" xfId="0" applyFont="1" applyFill="1" applyAlignment="1" applyProtection="1">
      <alignment vertical="center"/>
    </xf>
    <xf numFmtId="0" fontId="48" fillId="2" borderId="0" xfId="0" applyFont="1" applyFill="1" applyBorder="1" applyAlignment="1" applyProtection="1">
      <alignment horizontal="center" vertical="center"/>
    </xf>
    <xf numFmtId="0" fontId="47" fillId="2" borderId="0" xfId="0" applyFont="1" applyFill="1" applyAlignment="1" applyProtection="1">
      <alignment vertical="center"/>
    </xf>
    <xf numFmtId="0" fontId="50" fillId="2" borderId="0" xfId="0" applyFont="1" applyFill="1" applyAlignment="1" applyProtection="1">
      <alignment vertical="center"/>
    </xf>
    <xf numFmtId="166" fontId="0" fillId="0" borderId="0" xfId="0" applyNumberFormat="1" applyFill="1" applyAlignment="1" applyProtection="1">
      <alignment vertical="center" wrapText="1"/>
    </xf>
    <xf numFmtId="0" fontId="0" fillId="13" borderId="5" xfId="0" applyFill="1" applyBorder="1" applyAlignment="1">
      <alignment vertical="center"/>
    </xf>
    <xf numFmtId="0" fontId="0" fillId="13" borderId="3" xfId="0" applyFill="1" applyBorder="1" applyAlignment="1">
      <alignment horizontal="right" vertical="center"/>
    </xf>
    <xf numFmtId="14" fontId="0" fillId="13" borderId="3" xfId="0" applyNumberFormat="1" applyFill="1" applyBorder="1" applyAlignment="1">
      <alignment horizontal="center" vertical="center"/>
    </xf>
    <xf numFmtId="165" fontId="1" fillId="13" borderId="3" xfId="10" applyNumberFormat="1" applyFill="1" applyBorder="1" applyAlignment="1">
      <alignment horizontal="center" vertical="center"/>
    </xf>
    <xf numFmtId="165" fontId="1" fillId="13" borderId="3" xfId="10" applyNumberFormat="1" applyFill="1" applyBorder="1" applyAlignment="1">
      <alignment horizontal="center" vertical="center" wrapText="1"/>
    </xf>
    <xf numFmtId="165" fontId="1" fillId="13" borderId="3" xfId="10" applyNumberFormat="1" applyFill="1" applyBorder="1" applyAlignment="1">
      <alignment vertical="center" wrapText="1"/>
    </xf>
    <xf numFmtId="0" fontId="0" fillId="13" borderId="3" xfId="0" applyFill="1" applyBorder="1" applyAlignment="1">
      <alignment vertical="center"/>
    </xf>
    <xf numFmtId="0" fontId="0" fillId="13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 vertical="center"/>
    </xf>
    <xf numFmtId="9" fontId="0" fillId="3" borderId="0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4" borderId="4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6" xfId="0" applyFill="1" applyBorder="1" applyAlignment="1">
      <alignment vertical="center"/>
    </xf>
    <xf numFmtId="0" fontId="0" fillId="2" borderId="13" xfId="0" applyFill="1" applyBorder="1" applyAlignment="1">
      <alignment horizontal="right" vertical="center"/>
    </xf>
    <xf numFmtId="165" fontId="1" fillId="13" borderId="14" xfId="10" applyNumberForma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13" borderId="3" xfId="0" applyFill="1" applyBorder="1" applyAlignment="1">
      <alignment horizontal="left" vertical="center"/>
    </xf>
    <xf numFmtId="0" fontId="0" fillId="13" borderId="3" xfId="0" applyFill="1" applyBorder="1" applyAlignment="1">
      <alignment horizontal="left" vertical="center" wrapText="1"/>
    </xf>
    <xf numFmtId="0" fontId="0" fillId="13" borderId="14" xfId="0" applyFill="1" applyBorder="1" applyAlignment="1">
      <alignment horizontal="left" vertical="center"/>
    </xf>
    <xf numFmtId="0" fontId="1" fillId="13" borderId="12" xfId="10" applyNumberFormat="1" applyFill="1" applyBorder="1" applyAlignment="1">
      <alignment horizontal="center" vertical="center"/>
    </xf>
    <xf numFmtId="0" fontId="1" fillId="13" borderId="12" xfId="10" applyNumberForma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/>
    </xf>
    <xf numFmtId="0" fontId="1" fillId="13" borderId="36" xfId="10" applyNumberFormat="1" applyFill="1" applyBorder="1" applyAlignment="1">
      <alignment horizontal="center" vertical="center"/>
    </xf>
    <xf numFmtId="0" fontId="4" fillId="13" borderId="3" xfId="0" applyFont="1" applyFill="1" applyBorder="1" applyAlignment="1" applyProtection="1">
      <alignment vertical="center" wrapText="1"/>
    </xf>
    <xf numFmtId="0" fontId="0" fillId="13" borderId="3" xfId="0" applyFill="1" applyBorder="1" applyAlignment="1" applyProtection="1">
      <alignment vertical="center" wrapText="1"/>
    </xf>
    <xf numFmtId="0" fontId="42" fillId="0" borderId="0" xfId="0" applyFont="1" applyAlignment="1" applyProtection="1">
      <alignment vertical="center" wrapText="1"/>
    </xf>
    <xf numFmtId="165" fontId="19" fillId="2" borderId="0" xfId="10" applyFont="1" applyFill="1" applyAlignment="1" applyProtection="1">
      <alignment vertical="center" wrapText="1"/>
    </xf>
    <xf numFmtId="0" fontId="31" fillId="3" borderId="48" xfId="0" applyFont="1" applyFill="1" applyBorder="1" applyAlignment="1" applyProtection="1">
      <alignment vertical="center"/>
    </xf>
    <xf numFmtId="39" fontId="44" fillId="2" borderId="25" xfId="0" applyNumberFormat="1" applyFont="1" applyFill="1" applyBorder="1" applyAlignment="1" applyProtection="1">
      <alignment vertical="center"/>
    </xf>
    <xf numFmtId="164" fontId="26" fillId="0" borderId="0" xfId="2" applyFont="1" applyFill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3" xfId="0" applyNumberFormat="1" applyFont="1" applyFill="1" applyBorder="1" applyAlignment="1" applyProtection="1">
      <alignment vertical="center" wrapText="1"/>
    </xf>
    <xf numFmtId="2" fontId="0" fillId="0" borderId="3" xfId="0" applyNumberFormat="1" applyBorder="1" applyAlignment="1" applyProtection="1">
      <alignment vertical="center" wrapText="1"/>
    </xf>
    <xf numFmtId="165" fontId="0" fillId="0" borderId="3" xfId="0" applyNumberFormat="1" applyBorder="1" applyAlignment="1" applyProtection="1">
      <alignment vertical="center" wrapText="1"/>
    </xf>
    <xf numFmtId="179" fontId="0" fillId="0" borderId="3" xfId="4" applyNumberFormat="1" applyFont="1" applyBorder="1" applyAlignment="1" applyProtection="1">
      <alignment vertical="center" wrapText="1"/>
    </xf>
    <xf numFmtId="0" fontId="15" fillId="8" borderId="0" xfId="0" applyFont="1" applyFill="1" applyAlignment="1" applyProtection="1">
      <alignment vertical="center"/>
    </xf>
    <xf numFmtId="14" fontId="15" fillId="8" borderId="0" xfId="0" applyNumberFormat="1" applyFont="1" applyFill="1" applyAlignment="1" applyProtection="1">
      <alignment vertical="center"/>
    </xf>
    <xf numFmtId="2" fontId="15" fillId="8" borderId="0" xfId="0" applyNumberFormat="1" applyFont="1" applyFill="1" applyAlignment="1" applyProtection="1">
      <alignment vertical="center"/>
    </xf>
    <xf numFmtId="0" fontId="53" fillId="14" borderId="6" xfId="0" applyFont="1" applyFill="1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 wrapText="1"/>
    </xf>
    <xf numFmtId="10" fontId="0" fillId="0" borderId="0" xfId="0" applyNumberFormat="1"/>
    <xf numFmtId="0" fontId="55" fillId="14" borderId="6" xfId="0" applyFont="1" applyFill="1" applyBorder="1" applyAlignment="1">
      <alignment vertical="center"/>
    </xf>
    <xf numFmtId="0" fontId="56" fillId="0" borderId="0" xfId="0" applyFont="1" applyFill="1" applyBorder="1" applyAlignment="1" applyProtection="1">
      <alignment horizontal="left" vertical="center"/>
    </xf>
    <xf numFmtId="0" fontId="55" fillId="0" borderId="0" xfId="0" applyFont="1" applyFill="1" applyBorder="1" applyAlignment="1" applyProtection="1">
      <alignment vertical="center"/>
    </xf>
    <xf numFmtId="180" fontId="0" fillId="0" borderId="3" xfId="0" applyNumberFormat="1" applyBorder="1"/>
    <xf numFmtId="0" fontId="0" fillId="0" borderId="23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65" fontId="61" fillId="19" borderId="3" xfId="10" applyNumberFormat="1" applyFont="1" applyFill="1" applyBorder="1" applyAlignment="1">
      <alignment horizontal="center" vertical="center" wrapText="1"/>
    </xf>
    <xf numFmtId="165" fontId="61" fillId="19" borderId="3" xfId="10" applyNumberFormat="1" applyFont="1" applyFill="1" applyBorder="1" applyAlignment="1">
      <alignment vertical="center" wrapText="1"/>
    </xf>
    <xf numFmtId="0" fontId="61" fillId="19" borderId="12" xfId="10" applyNumberFormat="1" applyFont="1" applyFill="1" applyBorder="1" applyAlignment="1">
      <alignment horizontal="center" vertical="center"/>
    </xf>
    <xf numFmtId="0" fontId="61" fillId="19" borderId="12" xfId="10" applyNumberFormat="1" applyFont="1" applyFill="1" applyBorder="1" applyAlignment="1">
      <alignment horizontal="center" vertical="center" wrapText="1"/>
    </xf>
    <xf numFmtId="0" fontId="0" fillId="19" borderId="3" xfId="0" applyFill="1" applyBorder="1" applyAlignment="1">
      <alignment horizontal="right" vertical="center"/>
    </xf>
    <xf numFmtId="14" fontId="0" fillId="19" borderId="3" xfId="0" applyNumberFormat="1" applyFill="1" applyBorder="1" applyAlignment="1">
      <alignment horizontal="center" vertical="center"/>
    </xf>
    <xf numFmtId="180" fontId="4" fillId="19" borderId="3" xfId="0" applyNumberFormat="1" applyFont="1" applyFill="1" applyBorder="1" applyAlignment="1" applyProtection="1">
      <alignment vertical="center" wrapText="1"/>
    </xf>
    <xf numFmtId="0" fontId="15" fillId="14" borderId="5" xfId="0" applyFont="1" applyFill="1" applyBorder="1" applyAlignment="1">
      <alignment vertical="center"/>
    </xf>
    <xf numFmtId="165" fontId="61" fillId="20" borderId="3" xfId="10" applyNumberFormat="1" applyFont="1" applyFill="1" applyBorder="1" applyAlignment="1">
      <alignment horizontal="center" vertical="center"/>
    </xf>
    <xf numFmtId="179" fontId="4" fillId="0" borderId="3" xfId="0" applyNumberFormat="1" applyFont="1" applyBorder="1" applyAlignment="1" applyProtection="1">
      <alignment vertical="center" wrapText="1"/>
    </xf>
    <xf numFmtId="17" fontId="34" fillId="2" borderId="0" xfId="0" applyNumberFormat="1" applyFont="1" applyFill="1" applyBorder="1" applyAlignment="1" applyProtection="1">
      <alignment vertical="center"/>
    </xf>
    <xf numFmtId="164" fontId="11" fillId="15" borderId="0" xfId="2" applyFont="1" applyFill="1" applyBorder="1" applyAlignment="1" applyProtection="1">
      <alignment horizontal="center" vertical="center"/>
    </xf>
    <xf numFmtId="164" fontId="11" fillId="15" borderId="24" xfId="2" applyFont="1" applyFill="1" applyBorder="1" applyAlignment="1" applyProtection="1">
      <alignment horizontal="center" vertical="center"/>
    </xf>
    <xf numFmtId="164" fontId="11" fillId="15" borderId="23" xfId="2" applyFont="1" applyFill="1" applyBorder="1" applyAlignment="1" applyProtection="1">
      <alignment horizontal="center" vertical="center"/>
    </xf>
    <xf numFmtId="165" fontId="37" fillId="0" borderId="0" xfId="1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17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2" applyFont="1" applyFill="1" applyBorder="1" applyAlignment="1" applyProtection="1">
      <alignment horizontal="center" vertical="center"/>
    </xf>
    <xf numFmtId="43" fontId="0" fillId="2" borderId="0" xfId="0" applyNumberFormat="1" applyFill="1" applyAlignment="1" applyProtection="1">
      <alignment vertical="center"/>
    </xf>
    <xf numFmtId="4" fontId="0" fillId="2" borderId="0" xfId="0" applyNumberFormat="1" applyFill="1" applyBorder="1" applyAlignment="1" applyProtection="1">
      <alignment vertical="center"/>
    </xf>
    <xf numFmtId="43" fontId="0" fillId="2" borderId="0" xfId="0" applyNumberFormat="1" applyFill="1" applyBorder="1" applyAlignment="1" applyProtection="1">
      <alignment vertical="center"/>
    </xf>
    <xf numFmtId="179" fontId="0" fillId="2" borderId="0" xfId="0" applyNumberFormat="1" applyFill="1" applyAlignment="1" applyProtection="1">
      <alignment vertical="center"/>
    </xf>
    <xf numFmtId="179" fontId="0" fillId="0" borderId="0" xfId="0" applyNumberFormat="1" applyFill="1" applyAlignment="1" applyProtection="1">
      <alignment vertical="center"/>
    </xf>
    <xf numFmtId="179" fontId="0" fillId="2" borderId="0" xfId="4" applyNumberFormat="1" applyFont="1" applyFill="1" applyAlignment="1" applyProtection="1">
      <alignment vertical="center"/>
    </xf>
    <xf numFmtId="0" fontId="1" fillId="0" borderId="3" xfId="0" applyFont="1" applyBorder="1" applyProtection="1"/>
    <xf numFmtId="0" fontId="0" fillId="21" borderId="6" xfId="0" applyFill="1" applyBorder="1" applyAlignment="1">
      <alignment vertical="center"/>
    </xf>
    <xf numFmtId="43" fontId="0" fillId="2" borderId="27" xfId="0" applyNumberFormat="1" applyFill="1" applyBorder="1" applyAlignment="1" applyProtection="1">
      <alignment vertical="center"/>
    </xf>
    <xf numFmtId="43" fontId="0" fillId="2" borderId="21" xfId="0" applyNumberFormat="1" applyFill="1" applyBorder="1" applyAlignment="1" applyProtection="1">
      <alignment vertical="center"/>
    </xf>
    <xf numFmtId="0" fontId="1" fillId="13" borderId="3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left" vertical="center" wrapText="1"/>
    </xf>
    <xf numFmtId="168" fontId="0" fillId="0" borderId="0" xfId="4" applyNumberFormat="1" applyFont="1"/>
    <xf numFmtId="167" fontId="0" fillId="0" borderId="0" xfId="0" applyNumberFormat="1"/>
    <xf numFmtId="0" fontId="68" fillId="0" borderId="0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vertical="center"/>
    </xf>
    <xf numFmtId="2" fontId="0" fillId="2" borderId="0" xfId="0" applyNumberFormat="1" applyFill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1" fillId="22" borderId="0" xfId="0" applyFont="1" applyFill="1"/>
    <xf numFmtId="0" fontId="1" fillId="22" borderId="3" xfId="0" applyFont="1" applyFill="1" applyBorder="1"/>
    <xf numFmtId="167" fontId="1" fillId="22" borderId="3" xfId="0" applyNumberFormat="1" applyFont="1" applyFill="1" applyBorder="1"/>
    <xf numFmtId="14" fontId="1" fillId="19" borderId="3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29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>
      <alignment horizontal="right" vertical="center"/>
    </xf>
    <xf numFmtId="177" fontId="26" fillId="0" borderId="0" xfId="2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Protection="1"/>
    <xf numFmtId="165" fontId="0" fillId="0" borderId="3" xfId="10" applyNumberFormat="1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</xf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22" fontId="12" fillId="0" borderId="0" xfId="0" applyNumberFormat="1" applyFont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0" fontId="0" fillId="16" borderId="50" xfId="0" applyFill="1" applyBorder="1" applyAlignment="1" applyProtection="1">
      <protection hidden="1"/>
    </xf>
    <xf numFmtId="0" fontId="0" fillId="0" borderId="51" xfId="0" applyFill="1" applyBorder="1" applyAlignment="1" applyProtection="1">
      <protection hidden="1"/>
    </xf>
    <xf numFmtId="0" fontId="4" fillId="0" borderId="50" xfId="0" applyFont="1" applyBorder="1" applyProtection="1">
      <protection hidden="1"/>
    </xf>
    <xf numFmtId="22" fontId="4" fillId="0" borderId="50" xfId="0" applyNumberFormat="1" applyFont="1" applyBorder="1" applyAlignment="1" applyProtection="1">
      <alignment horizontal="left"/>
      <protection hidden="1"/>
    </xf>
    <xf numFmtId="22" fontId="12" fillId="0" borderId="51" xfId="0" applyNumberFormat="1" applyFont="1" applyBorder="1" applyAlignment="1" applyProtection="1">
      <alignment horizontal="center"/>
      <protection hidden="1"/>
    </xf>
    <xf numFmtId="0" fontId="0" fillId="0" borderId="52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53" xfId="0" applyBorder="1" applyProtection="1">
      <protection hidden="1"/>
    </xf>
    <xf numFmtId="22" fontId="12" fillId="17" borderId="0" xfId="0" applyNumberFormat="1" applyFont="1" applyFill="1" applyBorder="1" applyAlignment="1" applyProtection="1">
      <alignment horizontal="left"/>
      <protection hidden="1"/>
    </xf>
    <xf numFmtId="22" fontId="12" fillId="17" borderId="53" xfId="0" applyNumberFormat="1" applyFont="1" applyFill="1" applyBorder="1" applyAlignment="1" applyProtection="1">
      <alignment horizontal="center"/>
      <protection hidden="1"/>
    </xf>
    <xf numFmtId="172" fontId="0" fillId="17" borderId="0" xfId="0" applyNumberFormat="1" applyFill="1" applyBorder="1" applyAlignment="1" applyProtection="1">
      <alignment horizontal="center"/>
      <protection hidden="1"/>
    </xf>
    <xf numFmtId="0" fontId="0" fillId="0" borderId="5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56" xfId="0" applyBorder="1" applyProtection="1">
      <protection hidden="1"/>
    </xf>
    <xf numFmtId="0" fontId="0" fillId="0" borderId="0" xfId="0" applyFill="1" applyBorder="1" applyProtection="1">
      <protection hidden="1"/>
    </xf>
    <xf numFmtId="14" fontId="0" fillId="17" borderId="0" xfId="0" applyNumberFormat="1" applyFill="1" applyBorder="1" applyAlignment="1" applyProtection="1">
      <alignment horizontal="center"/>
      <protection hidden="1"/>
    </xf>
    <xf numFmtId="167" fontId="1" fillId="0" borderId="51" xfId="4" applyNumberFormat="1" applyBorder="1" applyProtection="1">
      <protection hidden="1"/>
    </xf>
    <xf numFmtId="14" fontId="0" fillId="0" borderId="51" xfId="0" applyNumberFormat="1" applyBorder="1" applyAlignment="1" applyProtection="1">
      <alignment horizontal="center"/>
      <protection hidden="1"/>
    </xf>
    <xf numFmtId="167" fontId="1" fillId="0" borderId="53" xfId="4" applyNumberFormat="1" applyBorder="1" applyProtection="1">
      <protection hidden="1"/>
    </xf>
    <xf numFmtId="14" fontId="0" fillId="0" borderId="53" xfId="0" applyNumberFormat="1" applyBorder="1" applyAlignment="1" applyProtection="1">
      <alignment horizontal="center"/>
      <protection hidden="1"/>
    </xf>
    <xf numFmtId="22" fontId="12" fillId="0" borderId="0" xfId="0" applyNumberFormat="1" applyFont="1" applyBorder="1" applyAlignment="1" applyProtection="1">
      <alignment horizontal="center"/>
      <protection hidden="1"/>
    </xf>
    <xf numFmtId="22" fontId="12" fillId="0" borderId="53" xfId="0" applyNumberFormat="1" applyFont="1" applyBorder="1" applyAlignment="1" applyProtection="1">
      <alignment horizontal="center"/>
      <protection hidden="1"/>
    </xf>
    <xf numFmtId="14" fontId="1" fillId="17" borderId="56" xfId="4" applyNumberFormat="1" applyFont="1" applyFill="1" applyBorder="1" applyAlignment="1" applyProtection="1">
      <alignment horizontal="center"/>
      <protection hidden="1"/>
    </xf>
    <xf numFmtId="165" fontId="0" fillId="0" borderId="54" xfId="10" applyNumberFormat="1" applyFont="1" applyBorder="1" applyProtection="1">
      <protection hidden="1"/>
    </xf>
    <xf numFmtId="165" fontId="0" fillId="0" borderId="56" xfId="10" applyNumberFormat="1" applyFont="1" applyBorder="1" applyProtection="1">
      <protection hidden="1"/>
    </xf>
    <xf numFmtId="22" fontId="12" fillId="0" borderId="55" xfId="0" applyNumberFormat="1" applyFont="1" applyBorder="1" applyAlignment="1" applyProtection="1">
      <alignment horizontal="center"/>
      <protection hidden="1"/>
    </xf>
    <xf numFmtId="22" fontId="12" fillId="0" borderId="56" xfId="0" applyNumberFormat="1" applyFont="1" applyBorder="1" applyAlignment="1" applyProtection="1">
      <alignment horizontal="center"/>
      <protection hidden="1"/>
    </xf>
    <xf numFmtId="0" fontId="0" fillId="0" borderId="50" xfId="0" applyFill="1" applyBorder="1" applyAlignment="1" applyProtection="1">
      <protection hidden="1"/>
    </xf>
    <xf numFmtId="0" fontId="0" fillId="0" borderId="50" xfId="0" applyBorder="1" applyAlignment="1" applyProtection="1">
      <alignment horizontal="center"/>
      <protection hidden="1"/>
    </xf>
    <xf numFmtId="10" fontId="1" fillId="0" borderId="0" xfId="4" applyNumberFormat="1" applyProtection="1">
      <protection hidden="1"/>
    </xf>
    <xf numFmtId="171" fontId="1" fillId="0" borderId="0" xfId="7" applyProtection="1">
      <protection hidden="1"/>
    </xf>
    <xf numFmtId="0" fontId="4" fillId="0" borderId="57" xfId="0" applyFont="1" applyBorder="1" applyAlignment="1" applyProtection="1">
      <alignment horizontal="center"/>
      <protection hidden="1"/>
    </xf>
    <xf numFmtId="0" fontId="4" fillId="0" borderId="58" xfId="0" applyFont="1" applyBorder="1" applyAlignment="1" applyProtection="1">
      <alignment horizontal="center"/>
      <protection hidden="1"/>
    </xf>
    <xf numFmtId="168" fontId="1" fillId="0" borderId="0" xfId="4" applyNumberFormat="1" applyProtection="1">
      <protection hidden="1"/>
    </xf>
    <xf numFmtId="0" fontId="0" fillId="0" borderId="59" xfId="0" applyBorder="1" applyAlignment="1" applyProtection="1">
      <alignment horizontal="center"/>
      <protection hidden="1"/>
    </xf>
    <xf numFmtId="0" fontId="0" fillId="0" borderId="59" xfId="0" applyFill="1" applyBorder="1" applyAlignment="1" applyProtection="1">
      <alignment horizontal="center"/>
      <protection hidden="1"/>
    </xf>
    <xf numFmtId="14" fontId="0" fillId="0" borderId="59" xfId="0" applyNumberFormat="1" applyFill="1" applyBorder="1" applyAlignment="1" applyProtection="1">
      <alignment horizontal="center"/>
      <protection hidden="1"/>
    </xf>
    <xf numFmtId="14" fontId="0" fillId="0" borderId="59" xfId="0" applyNumberFormat="1" applyBorder="1" applyAlignment="1" applyProtection="1">
      <alignment horizontal="center"/>
      <protection hidden="1"/>
    </xf>
    <xf numFmtId="171" fontId="1" fillId="0" borderId="59" xfId="8" applyBorder="1" applyProtection="1">
      <protection hidden="1"/>
    </xf>
    <xf numFmtId="171" fontId="1" fillId="0" borderId="59" xfId="7" applyBorder="1" applyProtection="1">
      <protection hidden="1"/>
    </xf>
    <xf numFmtId="170" fontId="1" fillId="0" borderId="0" xfId="7" applyNumberFormat="1" applyProtection="1">
      <protection hidden="1"/>
    </xf>
    <xf numFmtId="0" fontId="4" fillId="0" borderId="0" xfId="0" applyFont="1" applyProtection="1">
      <protection hidden="1"/>
    </xf>
    <xf numFmtId="171" fontId="1" fillId="0" borderId="59" xfId="7" applyFill="1" applyBorder="1" applyProtection="1">
      <protection hidden="1"/>
    </xf>
    <xf numFmtId="0" fontId="0" fillId="17" borderId="3" xfId="0" applyFill="1" applyBorder="1" applyProtection="1">
      <protection hidden="1"/>
    </xf>
    <xf numFmtId="0" fontId="4" fillId="0" borderId="60" xfId="0" applyFont="1" applyBorder="1" applyProtection="1">
      <protection hidden="1"/>
    </xf>
    <xf numFmtId="171" fontId="4" fillId="0" borderId="61" xfId="0" applyNumberFormat="1" applyFont="1" applyFill="1" applyBorder="1" applyProtection="1">
      <protection hidden="1"/>
    </xf>
    <xf numFmtId="171" fontId="4" fillId="0" borderId="61" xfId="0" applyNumberFormat="1" applyFont="1" applyBorder="1" applyProtection="1">
      <protection hidden="1"/>
    </xf>
    <xf numFmtId="171" fontId="4" fillId="0" borderId="62" xfId="0" applyNumberFormat="1" applyFont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4" borderId="3" xfId="0" applyFill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17" borderId="59" xfId="0" applyFill="1" applyBorder="1" applyAlignment="1" applyProtection="1">
      <alignment horizontal="center"/>
      <protection hidden="1"/>
    </xf>
    <xf numFmtId="14" fontId="0" fillId="17" borderId="59" xfId="0" applyNumberFormat="1" applyFill="1" applyBorder="1" applyAlignment="1" applyProtection="1">
      <alignment horizontal="center"/>
      <protection hidden="1"/>
    </xf>
    <xf numFmtId="171" fontId="1" fillId="17" borderId="59" xfId="8" applyFill="1" applyBorder="1" applyProtection="1">
      <protection hidden="1"/>
    </xf>
    <xf numFmtId="10" fontId="1" fillId="0" borderId="52" xfId="4" applyNumberFormat="1" applyBorder="1" applyProtection="1">
      <protection hidden="1"/>
    </xf>
    <xf numFmtId="10" fontId="1" fillId="0" borderId="27" xfId="4" applyNumberFormat="1" applyBorder="1" applyProtection="1">
      <protection hidden="1"/>
    </xf>
    <xf numFmtId="166" fontId="0" fillId="0" borderId="3" xfId="10" applyNumberFormat="1" applyFont="1" applyBorder="1" applyProtection="1">
      <protection hidden="1"/>
    </xf>
    <xf numFmtId="171" fontId="1" fillId="0" borderId="4" xfId="7" applyBorder="1" applyProtection="1">
      <protection hidden="1"/>
    </xf>
    <xf numFmtId="171" fontId="0" fillId="0" borderId="3" xfId="0" applyNumberFormat="1" applyBorder="1" applyProtection="1">
      <protection hidden="1"/>
    </xf>
    <xf numFmtId="10" fontId="1" fillId="0" borderId="24" xfId="4" applyNumberFormat="1" applyBorder="1" applyProtection="1">
      <protection hidden="1"/>
    </xf>
    <xf numFmtId="171" fontId="1" fillId="17" borderId="59" xfId="7" applyFill="1" applyBorder="1" applyProtection="1">
      <protection hidden="1"/>
    </xf>
    <xf numFmtId="171" fontId="0" fillId="5" borderId="3" xfId="0" applyNumberFormat="1" applyFill="1" applyBorder="1" applyProtection="1">
      <protection hidden="1"/>
    </xf>
    <xf numFmtId="43" fontId="0" fillId="0" borderId="0" xfId="0" applyNumberFormat="1" applyProtection="1">
      <protection hidden="1"/>
    </xf>
    <xf numFmtId="0" fontId="4" fillId="0" borderId="59" xfId="0" applyFont="1" applyFill="1" applyBorder="1" applyAlignment="1" applyProtection="1">
      <alignment horizontal="center"/>
      <protection hidden="1"/>
    </xf>
    <xf numFmtId="14" fontId="4" fillId="0" borderId="59" xfId="0" applyNumberFormat="1" applyFont="1" applyFill="1" applyBorder="1" applyAlignment="1" applyProtection="1">
      <alignment horizontal="center"/>
      <protection hidden="1"/>
    </xf>
    <xf numFmtId="171" fontId="4" fillId="0" borderId="59" xfId="8" applyFont="1" applyFill="1" applyBorder="1" applyProtection="1">
      <protection hidden="1"/>
    </xf>
    <xf numFmtId="171" fontId="4" fillId="0" borderId="59" xfId="7" applyFont="1" applyBorder="1" applyProtection="1">
      <protection hidden="1"/>
    </xf>
    <xf numFmtId="171" fontId="0" fillId="0" borderId="15" xfId="0" applyNumberFormat="1" applyBorder="1" applyProtection="1">
      <protection hidden="1"/>
    </xf>
    <xf numFmtId="171" fontId="4" fillId="0" borderId="3" xfId="0" applyNumberFormat="1" applyFont="1" applyBorder="1" applyProtection="1">
      <protection hidden="1"/>
    </xf>
    <xf numFmtId="171" fontId="0" fillId="0" borderId="7" xfId="0" applyNumberFormat="1" applyBorder="1" applyProtection="1">
      <protection hidden="1"/>
    </xf>
    <xf numFmtId="4" fontId="1" fillId="0" borderId="0" xfId="4" applyNumberFormat="1" applyProtection="1">
      <protection hidden="1"/>
    </xf>
    <xf numFmtId="0" fontId="11" fillId="0" borderId="63" xfId="0" applyFont="1" applyBorder="1" applyAlignment="1" applyProtection="1">
      <alignment horizontal="center"/>
      <protection hidden="1"/>
    </xf>
    <xf numFmtId="171" fontId="0" fillId="0" borderId="63" xfId="0" applyNumberFormat="1" applyBorder="1" applyProtection="1">
      <protection hidden="1"/>
    </xf>
    <xf numFmtId="173" fontId="1" fillId="17" borderId="63" xfId="7" applyNumberFormat="1" applyFill="1" applyBorder="1" applyProtection="1">
      <protection hidden="1"/>
    </xf>
    <xf numFmtId="171" fontId="0" fillId="17" borderId="63" xfId="0" applyNumberFormat="1" applyFill="1" applyBorder="1" applyProtection="1">
      <protection hidden="1"/>
    </xf>
    <xf numFmtId="173" fontId="1" fillId="0" borderId="63" xfId="7" applyNumberFormat="1" applyBorder="1" applyProtection="1">
      <protection hidden="1"/>
    </xf>
    <xf numFmtId="171" fontId="1" fillId="0" borderId="63" xfId="7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71" fontId="0" fillId="0" borderId="0" xfId="0" applyNumberFormat="1" applyBorder="1" applyProtection="1">
      <protection hidden="1"/>
    </xf>
    <xf numFmtId="173" fontId="1" fillId="0" borderId="0" xfId="7" applyNumberFormat="1" applyBorder="1" applyProtection="1">
      <protection hidden="1"/>
    </xf>
    <xf numFmtId="171" fontId="1" fillId="0" borderId="0" xfId="7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71" fontId="1" fillId="0" borderId="53" xfId="7" applyBorder="1" applyProtection="1">
      <protection hidden="1"/>
    </xf>
    <xf numFmtId="171" fontId="0" fillId="0" borderId="53" xfId="0" applyNumberFormat="1" applyBorder="1" applyProtection="1">
      <protection hidden="1"/>
    </xf>
    <xf numFmtId="10" fontId="1" fillId="0" borderId="56" xfId="4" applyNumberFormat="1" applyBorder="1" applyProtection="1">
      <protection hidden="1"/>
    </xf>
    <xf numFmtId="10" fontId="5" fillId="0" borderId="64" xfId="4" applyNumberFormat="1" applyFont="1" applyBorder="1" applyAlignment="1" applyProtection="1">
      <protection hidden="1"/>
    </xf>
    <xf numFmtId="0" fontId="5" fillId="0" borderId="65" xfId="0" applyFont="1" applyBorder="1" applyAlignment="1" applyProtection="1">
      <protection hidden="1"/>
    </xf>
    <xf numFmtId="0" fontId="5" fillId="0" borderId="66" xfId="0" applyFont="1" applyBorder="1" applyAlignment="1" applyProtection="1">
      <protection hidden="1"/>
    </xf>
    <xf numFmtId="0" fontId="5" fillId="0" borderId="66" xfId="0" applyFont="1" applyBorder="1" applyAlignment="1" applyProtection="1">
      <alignment horizontal="center"/>
      <protection hidden="1"/>
    </xf>
    <xf numFmtId="171" fontId="5" fillId="0" borderId="64" xfId="0" applyNumberFormat="1" applyFont="1" applyBorder="1" applyAlignment="1" applyProtection="1">
      <protection hidden="1"/>
    </xf>
    <xf numFmtId="171" fontId="4" fillId="0" borderId="67" xfId="0" applyNumberFormat="1" applyFont="1" applyBorder="1" applyAlignment="1" applyProtection="1">
      <protection hidden="1"/>
    </xf>
    <xf numFmtId="10" fontId="4" fillId="0" borderId="68" xfId="4" applyNumberFormat="1" applyFont="1" applyBorder="1" applyProtection="1">
      <protection hidden="1"/>
    </xf>
    <xf numFmtId="0" fontId="0" fillId="0" borderId="0" xfId="0" applyFill="1" applyProtection="1">
      <protection hidden="1"/>
    </xf>
    <xf numFmtId="0" fontId="0" fillId="23" borderId="0" xfId="0" applyFill="1"/>
    <xf numFmtId="14" fontId="0" fillId="23" borderId="0" xfId="0" applyNumberFormat="1" applyFill="1"/>
    <xf numFmtId="0" fontId="69" fillId="2" borderId="0" xfId="0" applyFont="1" applyFill="1" applyAlignment="1" applyProtection="1">
      <alignment vertical="center"/>
    </xf>
    <xf numFmtId="0" fontId="70" fillId="2" borderId="0" xfId="0" applyFont="1" applyFill="1" applyBorder="1" applyAlignment="1" applyProtection="1">
      <alignment horizontal="center" vertical="center"/>
    </xf>
    <xf numFmtId="165" fontId="70" fillId="2" borderId="0" xfId="10" applyFont="1" applyFill="1" applyBorder="1" applyAlignment="1" applyProtection="1">
      <alignment horizontal="center" vertical="center"/>
    </xf>
    <xf numFmtId="0" fontId="70" fillId="2" borderId="0" xfId="0" applyNumberFormat="1" applyFont="1" applyFill="1" applyBorder="1" applyAlignment="1" applyProtection="1">
      <alignment vertical="center"/>
    </xf>
    <xf numFmtId="17" fontId="70" fillId="2" borderId="0" xfId="0" applyNumberFormat="1" applyFont="1" applyFill="1" applyBorder="1" applyAlignment="1" applyProtection="1">
      <alignment horizontal="center" vertical="center"/>
    </xf>
    <xf numFmtId="0" fontId="69" fillId="2" borderId="0" xfId="0" applyFont="1" applyFill="1" applyBorder="1" applyAlignment="1" applyProtection="1">
      <alignment vertical="center"/>
    </xf>
    <xf numFmtId="0" fontId="72" fillId="2" borderId="0" xfId="0" applyFont="1" applyFill="1" applyBorder="1" applyAlignment="1" applyProtection="1">
      <alignment horizontal="center" vertical="center"/>
    </xf>
    <xf numFmtId="165" fontId="72" fillId="2" borderId="0" xfId="10" applyFont="1" applyFill="1" applyBorder="1" applyAlignment="1" applyProtection="1">
      <alignment horizontal="center" vertical="center"/>
    </xf>
    <xf numFmtId="0" fontId="72" fillId="2" borderId="0" xfId="0" applyNumberFormat="1" applyFont="1" applyFill="1" applyBorder="1" applyAlignment="1" applyProtection="1">
      <alignment vertical="center"/>
    </xf>
    <xf numFmtId="17" fontId="72" fillId="2" borderId="0" xfId="0" applyNumberFormat="1" applyFont="1" applyFill="1" applyBorder="1" applyAlignment="1" applyProtection="1">
      <alignment horizontal="center" vertical="center"/>
    </xf>
    <xf numFmtId="0" fontId="73" fillId="2" borderId="0" xfId="0" applyFont="1" applyFill="1" applyBorder="1" applyAlignment="1" applyProtection="1">
      <alignment vertical="center"/>
    </xf>
    <xf numFmtId="164" fontId="0" fillId="2" borderId="24" xfId="0" applyNumberFormat="1" applyFill="1" applyBorder="1" applyAlignment="1" applyProtection="1">
      <alignment vertical="center"/>
    </xf>
    <xf numFmtId="166" fontId="1" fillId="0" borderId="3" xfId="10" applyNumberFormat="1" applyFont="1" applyBorder="1" applyAlignment="1" applyProtection="1">
      <alignment horizontal="center" vertical="center" wrapText="1"/>
    </xf>
    <xf numFmtId="0" fontId="8" fillId="24" borderId="120" xfId="0" applyFont="1" applyFill="1" applyBorder="1" applyAlignment="1" applyProtection="1">
      <alignment horizontal="center" vertical="center" wrapText="1"/>
    </xf>
    <xf numFmtId="14" fontId="0" fillId="22" borderId="0" xfId="0" applyNumberFormat="1" applyFill="1"/>
    <xf numFmtId="0" fontId="4" fillId="0" borderId="70" xfId="0" applyFont="1" applyBorder="1" applyAlignment="1">
      <alignment horizontal="center" vertical="center"/>
    </xf>
    <xf numFmtId="9" fontId="0" fillId="0" borderId="70" xfId="4" applyFont="1" applyBorder="1" applyAlignment="1">
      <alignment horizontal="center" vertical="center"/>
    </xf>
    <xf numFmtId="0" fontId="20" fillId="2" borderId="0" xfId="0" applyFont="1" applyFill="1" applyAlignment="1" applyProtection="1">
      <alignment vertical="center"/>
    </xf>
    <xf numFmtId="166" fontId="74" fillId="23" borderId="0" xfId="10" applyNumberFormat="1" applyFont="1" applyFill="1" applyAlignment="1" applyProtection="1">
      <alignment vertical="center"/>
    </xf>
    <xf numFmtId="43" fontId="4" fillId="22" borderId="0" xfId="0" applyNumberFormat="1" applyFont="1" applyFill="1" applyAlignment="1" applyProtection="1">
      <alignment vertical="center" wrapText="1"/>
    </xf>
    <xf numFmtId="0" fontId="0" fillId="22" borderId="0" xfId="0" applyFill="1" applyAlignment="1" applyProtection="1">
      <alignment vertical="center" wrapText="1"/>
    </xf>
    <xf numFmtId="0" fontId="62" fillId="22" borderId="0" xfId="0" applyFont="1" applyFill="1" applyBorder="1" applyAlignment="1" applyProtection="1">
      <alignment vertical="center"/>
    </xf>
    <xf numFmtId="0" fontId="74" fillId="23" borderId="0" xfId="0" applyFont="1" applyFill="1" applyAlignment="1" applyProtection="1">
      <alignment vertical="center"/>
    </xf>
    <xf numFmtId="165" fontId="1" fillId="20" borderId="3" xfId="10" applyNumberFormat="1" applyFill="1" applyBorder="1" applyAlignment="1">
      <alignment horizontal="center" vertical="center"/>
    </xf>
    <xf numFmtId="17" fontId="0" fillId="0" borderId="0" xfId="0" applyNumberFormat="1"/>
    <xf numFmtId="165" fontId="1" fillId="19" borderId="3" xfId="10" applyNumberFormat="1" applyFont="1" applyFill="1" applyBorder="1" applyAlignment="1">
      <alignment horizontal="center" vertical="center"/>
    </xf>
    <xf numFmtId="165" fontId="1" fillId="20" borderId="3" xfId="10" applyNumberFormat="1" applyFont="1" applyFill="1" applyBorder="1" applyAlignment="1">
      <alignment horizontal="center" vertical="center"/>
    </xf>
    <xf numFmtId="0" fontId="1" fillId="19" borderId="12" xfId="10" applyNumberFormat="1" applyFont="1" applyFill="1" applyBorder="1" applyAlignment="1">
      <alignment horizontal="center" vertical="center" wrapText="1"/>
    </xf>
    <xf numFmtId="0" fontId="73" fillId="2" borderId="0" xfId="0" applyFont="1" applyFill="1" applyAlignment="1" applyProtection="1">
      <alignment vertical="center"/>
    </xf>
    <xf numFmtId="10" fontId="73" fillId="2" borderId="0" xfId="0" applyNumberFormat="1" applyFont="1" applyFill="1" applyAlignment="1" applyProtection="1">
      <alignment horizontal="center" vertical="center"/>
    </xf>
    <xf numFmtId="10" fontId="73" fillId="0" borderId="0" xfId="0" applyNumberFormat="1" applyFont="1" applyFill="1" applyAlignment="1" applyProtection="1">
      <alignment horizontal="center" vertical="center"/>
    </xf>
    <xf numFmtId="164" fontId="73" fillId="2" borderId="0" xfId="2" applyFont="1" applyFill="1" applyAlignment="1" applyProtection="1">
      <alignment vertical="center"/>
    </xf>
    <xf numFmtId="0" fontId="73" fillId="4" borderId="0" xfId="0" applyFont="1" applyFill="1" applyAlignment="1" applyProtection="1">
      <alignment vertical="center"/>
    </xf>
    <xf numFmtId="165" fontId="1" fillId="19" borderId="3" xfId="10" applyNumberFormat="1" applyFill="1" applyBorder="1" applyAlignment="1">
      <alignment horizontal="center" vertical="center"/>
    </xf>
    <xf numFmtId="0" fontId="75" fillId="23" borderId="0" xfId="0" applyFont="1" applyFill="1" applyAlignment="1" applyProtection="1">
      <alignment vertical="center"/>
    </xf>
    <xf numFmtId="17" fontId="74" fillId="2" borderId="0" xfId="0" applyNumberFormat="1" applyFont="1" applyFill="1" applyBorder="1" applyAlignment="1" applyProtection="1">
      <alignment vertical="center"/>
    </xf>
    <xf numFmtId="17" fontId="74" fillId="2" borderId="0" xfId="0" applyNumberFormat="1" applyFont="1" applyFill="1" applyAlignment="1" applyProtection="1">
      <alignment vertical="center"/>
    </xf>
    <xf numFmtId="0" fontId="30" fillId="2" borderId="0" xfId="0" applyFont="1" applyFill="1" applyBorder="1" applyAlignment="1" applyProtection="1">
      <alignment vertical="center" wrapText="1"/>
    </xf>
    <xf numFmtId="0" fontId="30" fillId="2" borderId="0" xfId="0" applyFont="1" applyFill="1" applyBorder="1" applyAlignment="1" applyProtection="1">
      <alignment vertical="center"/>
    </xf>
    <xf numFmtId="166" fontId="1" fillId="0" borderId="3" xfId="11" applyNumberFormat="1" applyFont="1" applyFill="1" applyBorder="1" applyAlignment="1" applyProtection="1">
      <alignment vertical="center" wrapText="1"/>
    </xf>
    <xf numFmtId="10" fontId="2" fillId="0" borderId="3" xfId="5" applyNumberFormat="1" applyFont="1" applyFill="1" applyBorder="1" applyAlignment="1" applyProtection="1">
      <alignment vertical="center" wrapText="1"/>
    </xf>
    <xf numFmtId="166" fontId="4" fillId="24" borderId="121" xfId="11" applyNumberFormat="1" applyFont="1" applyFill="1" applyBorder="1" applyAlignment="1" applyProtection="1">
      <alignment vertical="center" wrapText="1"/>
    </xf>
    <xf numFmtId="10" fontId="6" fillId="24" borderId="122" xfId="5" applyNumberFormat="1" applyFont="1" applyFill="1" applyBorder="1" applyAlignment="1" applyProtection="1">
      <alignment vertical="center" wrapText="1"/>
    </xf>
    <xf numFmtId="0" fontId="73" fillId="2" borderId="23" xfId="0" applyFont="1" applyFill="1" applyBorder="1" applyAlignment="1" applyProtection="1">
      <alignment vertical="center"/>
    </xf>
    <xf numFmtId="0" fontId="73" fillId="0" borderId="3" xfId="0" applyFont="1" applyBorder="1" applyProtection="1"/>
    <xf numFmtId="0" fontId="73" fillId="2" borderId="3" xfId="0" applyFont="1" applyFill="1" applyBorder="1" applyAlignment="1" applyProtection="1">
      <alignment horizontal="right" vertical="center"/>
    </xf>
    <xf numFmtId="0" fontId="73" fillId="2" borderId="3" xfId="0" applyFont="1" applyFill="1" applyBorder="1" applyAlignment="1" applyProtection="1">
      <alignment horizontal="center" vertical="center"/>
    </xf>
    <xf numFmtId="165" fontId="73" fillId="2" borderId="3" xfId="10" applyNumberFormat="1" applyFont="1" applyFill="1" applyBorder="1" applyAlignment="1" applyProtection="1">
      <alignment horizontal="center" vertical="center"/>
    </xf>
    <xf numFmtId="165" fontId="73" fillId="2" borderId="0" xfId="10" applyFont="1" applyFill="1" applyBorder="1" applyAlignment="1" applyProtection="1">
      <alignment vertical="center"/>
    </xf>
    <xf numFmtId="0" fontId="73" fillId="2" borderId="0" xfId="0" applyFont="1" applyFill="1" applyAlignment="1" applyProtection="1">
      <alignment horizontal="left" vertical="center"/>
    </xf>
    <xf numFmtId="0" fontId="73" fillId="2" borderId="0" xfId="0" applyFont="1" applyFill="1" applyBorder="1" applyAlignment="1" applyProtection="1">
      <alignment wrapText="1"/>
    </xf>
    <xf numFmtId="0" fontId="76" fillId="2" borderId="0" xfId="0" applyFont="1" applyFill="1" applyBorder="1" applyAlignment="1" applyProtection="1">
      <alignment vertical="center" wrapText="1"/>
    </xf>
    <xf numFmtId="165" fontId="72" fillId="2" borderId="24" xfId="10" applyFont="1" applyFill="1" applyBorder="1" applyAlignment="1" applyProtection="1">
      <alignment horizontal="center" vertical="center"/>
    </xf>
    <xf numFmtId="165" fontId="72" fillId="2" borderId="23" xfId="10" applyFont="1" applyFill="1" applyBorder="1" applyAlignment="1" applyProtection="1">
      <alignment horizontal="center" vertical="center"/>
    </xf>
    <xf numFmtId="0" fontId="74" fillId="2" borderId="0" xfId="0" applyNumberFormat="1" applyFont="1" applyFill="1" applyBorder="1" applyAlignment="1" applyProtection="1">
      <alignment vertical="center"/>
    </xf>
    <xf numFmtId="164" fontId="0" fillId="2" borderId="0" xfId="0" applyNumberFormat="1" applyFill="1" applyBorder="1" applyAlignment="1" applyProtection="1">
      <alignment horizontal="center" vertical="center"/>
    </xf>
    <xf numFmtId="0" fontId="1" fillId="23" borderId="0" xfId="0" applyFont="1" applyFill="1"/>
    <xf numFmtId="0" fontId="1" fillId="25" borderId="3" xfId="0" applyFont="1" applyFill="1" applyBorder="1"/>
    <xf numFmtId="0" fontId="0" fillId="22" borderId="3" xfId="0" applyFill="1" applyBorder="1"/>
    <xf numFmtId="0" fontId="0" fillId="25" borderId="3" xfId="0" applyFill="1" applyBorder="1"/>
    <xf numFmtId="0" fontId="0" fillId="19" borderId="3" xfId="0" applyFill="1" applyBorder="1"/>
    <xf numFmtId="167" fontId="0" fillId="19" borderId="3" xfId="0" applyNumberFormat="1" applyFill="1" applyBorder="1"/>
    <xf numFmtId="0" fontId="4" fillId="22" borderId="3" xfId="0" applyFont="1" applyFill="1" applyBorder="1" applyAlignment="1">
      <alignment horizontal="center"/>
    </xf>
    <xf numFmtId="0" fontId="1" fillId="0" borderId="0" xfId="0" applyFont="1" applyFill="1" applyBorder="1"/>
    <xf numFmtId="167" fontId="0" fillId="25" borderId="3" xfId="0" applyNumberFormat="1" applyFill="1" applyBorder="1"/>
    <xf numFmtId="167" fontId="0" fillId="22" borderId="3" xfId="0" applyNumberFormat="1" applyFill="1" applyBorder="1"/>
    <xf numFmtId="0" fontId="71" fillId="2" borderId="24" xfId="0" applyFont="1" applyFill="1" applyBorder="1" applyAlignment="1" applyProtection="1">
      <alignment horizontal="center" vertical="center" wrapText="1"/>
    </xf>
    <xf numFmtId="165" fontId="77" fillId="2" borderId="0" xfId="10" applyNumberFormat="1" applyFont="1" applyFill="1" applyAlignment="1" applyProtection="1">
      <alignment vertical="center"/>
    </xf>
    <xf numFmtId="165" fontId="77" fillId="2" borderId="42" xfId="10" applyNumberFormat="1" applyFont="1" applyFill="1" applyBorder="1" applyAlignment="1" applyProtection="1">
      <alignment vertical="center"/>
    </xf>
    <xf numFmtId="167" fontId="1" fillId="19" borderId="3" xfId="0" applyNumberFormat="1" applyFont="1" applyFill="1" applyBorder="1"/>
    <xf numFmtId="0" fontId="1" fillId="2" borderId="23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center" vertical="center"/>
    </xf>
    <xf numFmtId="165" fontId="1" fillId="2" borderId="3" xfId="1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165" fontId="1" fillId="2" borderId="0" xfId="1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74" fillId="2" borderId="0" xfId="0" applyFont="1" applyFill="1" applyAlignment="1" applyProtection="1">
      <alignment vertical="center"/>
    </xf>
    <xf numFmtId="167" fontId="1" fillId="25" borderId="3" xfId="0" applyNumberFormat="1" applyFont="1" applyFill="1" applyBorder="1"/>
    <xf numFmtId="0" fontId="4" fillId="25" borderId="3" xfId="0" applyFont="1" applyFill="1" applyBorder="1" applyAlignment="1">
      <alignment horizontal="center"/>
    </xf>
    <xf numFmtId="165" fontId="0" fillId="2" borderId="0" xfId="0" applyNumberFormat="1" applyFill="1" applyBorder="1" applyAlignment="1" applyProtection="1">
      <alignment vertical="center"/>
    </xf>
    <xf numFmtId="10" fontId="78" fillId="2" borderId="18" xfId="4" applyNumberFormat="1" applyFont="1" applyFill="1" applyBorder="1" applyAlignment="1" applyProtection="1">
      <alignment vertical="center"/>
    </xf>
    <xf numFmtId="0" fontId="78" fillId="2" borderId="26" xfId="0" applyFont="1" applyFill="1" applyBorder="1" applyAlignment="1" applyProtection="1">
      <alignment vertical="center"/>
    </xf>
    <xf numFmtId="164" fontId="79" fillId="2" borderId="0" xfId="0" applyNumberFormat="1" applyFont="1" applyFill="1" applyAlignment="1" applyProtection="1">
      <alignment vertical="center"/>
    </xf>
    <xf numFmtId="0" fontId="74" fillId="0" borderId="0" xfId="0" applyFont="1" applyFill="1" applyBorder="1" applyAlignment="1" applyProtection="1">
      <alignment vertical="center"/>
    </xf>
    <xf numFmtId="0" fontId="79" fillId="2" borderId="0" xfId="0" applyFont="1" applyFill="1" applyAlignment="1" applyProtection="1">
      <alignment vertical="center"/>
    </xf>
    <xf numFmtId="167" fontId="1" fillId="25" borderId="0" xfId="0" applyNumberFormat="1" applyFont="1" applyFill="1"/>
    <xf numFmtId="14" fontId="1" fillId="17" borderId="0" xfId="0" applyNumberFormat="1" applyFont="1" applyFill="1" applyBorder="1" applyAlignment="1" applyProtection="1">
      <alignment horizontal="center"/>
      <protection hidden="1"/>
    </xf>
    <xf numFmtId="0" fontId="80" fillId="23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47" fillId="2" borderId="0" xfId="0" applyFont="1" applyFill="1" applyBorder="1" applyAlignment="1" applyProtection="1">
      <alignment vertical="center"/>
    </xf>
    <xf numFmtId="0" fontId="4" fillId="26" borderId="70" xfId="0" applyFont="1" applyFill="1" applyBorder="1" applyAlignment="1">
      <alignment horizontal="center" vertical="center"/>
    </xf>
    <xf numFmtId="0" fontId="4" fillId="26" borderId="72" xfId="0" applyFont="1" applyFill="1" applyBorder="1" applyAlignment="1">
      <alignment horizontal="center" vertical="center"/>
    </xf>
    <xf numFmtId="0" fontId="4" fillId="26" borderId="40" xfId="0" applyFont="1" applyFill="1" applyBorder="1" applyAlignment="1">
      <alignment horizontal="center" vertical="center"/>
    </xf>
    <xf numFmtId="0" fontId="4" fillId="26" borderId="73" xfId="0" applyFont="1" applyFill="1" applyBorder="1" applyAlignment="1">
      <alignment horizontal="center" vertical="center"/>
    </xf>
    <xf numFmtId="4" fontId="4" fillId="26" borderId="73" xfId="2" applyNumberFormat="1" applyFont="1" applyFill="1" applyBorder="1" applyAlignment="1">
      <alignment horizontal="center" vertical="center"/>
    </xf>
    <xf numFmtId="10" fontId="28" fillId="27" borderId="74" xfId="0" applyNumberFormat="1" applyFont="1" applyFill="1" applyBorder="1" applyAlignment="1" applyProtection="1">
      <alignment vertical="center"/>
    </xf>
    <xf numFmtId="10" fontId="28" fillId="27" borderId="75" xfId="0" applyNumberFormat="1" applyFont="1" applyFill="1" applyBorder="1" applyAlignment="1" applyProtection="1">
      <alignment horizontal="left" vertical="center"/>
    </xf>
    <xf numFmtId="0" fontId="0" fillId="3" borderId="29" xfId="0" applyFill="1" applyBorder="1" applyAlignment="1" applyProtection="1">
      <alignment vertical="center"/>
    </xf>
    <xf numFmtId="0" fontId="65" fillId="3" borderId="39" xfId="0" applyFont="1" applyFill="1" applyBorder="1" applyAlignment="1" applyProtection="1">
      <alignment vertical="center"/>
    </xf>
    <xf numFmtId="0" fontId="0" fillId="3" borderId="39" xfId="0" applyFill="1" applyBorder="1" applyAlignment="1" applyProtection="1">
      <alignment vertical="center"/>
    </xf>
    <xf numFmtId="10" fontId="81" fillId="27" borderId="123" xfId="0" applyNumberFormat="1" applyFont="1" applyFill="1" applyBorder="1" applyAlignment="1" applyProtection="1">
      <alignment vertical="center"/>
    </xf>
    <xf numFmtId="10" fontId="11" fillId="27" borderId="1" xfId="4" applyNumberFormat="1" applyFont="1" applyFill="1" applyBorder="1" applyAlignment="1" applyProtection="1">
      <alignment horizontal="center" vertical="center"/>
    </xf>
    <xf numFmtId="17" fontId="11" fillId="2" borderId="3" xfId="0" applyNumberFormat="1" applyFont="1" applyFill="1" applyBorder="1" applyAlignment="1" applyProtection="1">
      <alignment horizontal="center" vertical="center"/>
    </xf>
    <xf numFmtId="43" fontId="19" fillId="27" borderId="41" xfId="0" applyNumberFormat="1" applyFont="1" applyFill="1" applyBorder="1" applyAlignment="1" applyProtection="1">
      <alignment vertical="center"/>
    </xf>
    <xf numFmtId="0" fontId="19" fillId="27" borderId="41" xfId="0" applyFont="1" applyFill="1" applyBorder="1" applyAlignment="1" applyProtection="1">
      <alignment vertical="center"/>
    </xf>
    <xf numFmtId="164" fontId="12" fillId="27" borderId="76" xfId="0" applyNumberFormat="1" applyFont="1" applyFill="1" applyBorder="1" applyAlignment="1" applyProtection="1">
      <alignment vertical="center"/>
    </xf>
    <xf numFmtId="0" fontId="0" fillId="27" borderId="76" xfId="0" applyFill="1" applyBorder="1" applyAlignment="1" applyProtection="1">
      <alignment vertical="center"/>
    </xf>
    <xf numFmtId="165" fontId="19" fillId="27" borderId="42" xfId="10" applyNumberFormat="1" applyFont="1" applyFill="1" applyBorder="1" applyAlignment="1" applyProtection="1">
      <alignment vertical="center"/>
    </xf>
    <xf numFmtId="165" fontId="12" fillId="27" borderId="42" xfId="10" applyNumberFormat="1" applyFont="1" applyFill="1" applyBorder="1" applyAlignment="1" applyProtection="1">
      <alignment vertical="center"/>
    </xf>
    <xf numFmtId="0" fontId="31" fillId="3" borderId="0" xfId="0" applyFont="1" applyFill="1" applyBorder="1" applyAlignment="1" applyProtection="1">
      <alignment vertical="center"/>
    </xf>
    <xf numFmtId="0" fontId="66" fillId="26" borderId="3" xfId="0" applyFont="1" applyFill="1" applyBorder="1" applyAlignment="1" applyProtection="1">
      <alignment horizontal="center" vertical="center"/>
      <protection locked="0"/>
    </xf>
    <xf numFmtId="164" fontId="44" fillId="18" borderId="3" xfId="2" applyFont="1" applyFill="1" applyBorder="1" applyAlignment="1" applyProtection="1">
      <alignment horizontal="center" vertical="center" wrapText="1"/>
      <protection locked="0"/>
    </xf>
    <xf numFmtId="0" fontId="44" fillId="28" borderId="39" xfId="0" applyFont="1" applyFill="1" applyBorder="1" applyAlignment="1" applyProtection="1">
      <alignment horizontal="center" vertical="center"/>
    </xf>
    <xf numFmtId="0" fontId="44" fillId="27" borderId="40" xfId="0" applyFont="1" applyFill="1" applyBorder="1" applyAlignment="1" applyProtection="1">
      <alignment horizontal="center" vertical="center"/>
    </xf>
    <xf numFmtId="0" fontId="67" fillId="0" borderId="124" xfId="3" applyBorder="1" applyAlignment="1">
      <alignment horizontal="center"/>
    </xf>
    <xf numFmtId="0" fontId="67" fillId="0" borderId="124" xfId="3" applyFill="1" applyBorder="1" applyAlignment="1">
      <alignment horizontal="center"/>
    </xf>
    <xf numFmtId="0" fontId="67" fillId="0" borderId="125" xfId="3" applyBorder="1" applyAlignment="1">
      <alignment horizontal="center"/>
    </xf>
    <xf numFmtId="0" fontId="67" fillId="0" borderId="125" xfId="3" applyFill="1" applyBorder="1" applyAlignment="1">
      <alignment horizontal="center"/>
    </xf>
    <xf numFmtId="0" fontId="67" fillId="0" borderId="126" xfId="3" applyFill="1" applyBorder="1" applyAlignment="1">
      <alignment horizontal="center"/>
    </xf>
    <xf numFmtId="0" fontId="82" fillId="0" borderId="127" xfId="3" applyNumberFormat="1" applyFont="1" applyBorder="1" applyAlignment="1">
      <alignment horizontal="center"/>
    </xf>
    <xf numFmtId="0" fontId="82" fillId="0" borderId="127" xfId="3" applyNumberFormat="1" applyFont="1" applyFill="1" applyBorder="1" applyAlignment="1">
      <alignment horizontal="center"/>
    </xf>
    <xf numFmtId="0" fontId="82" fillId="23" borderId="127" xfId="3" applyNumberFormat="1" applyFont="1" applyFill="1" applyBorder="1" applyAlignment="1">
      <alignment horizontal="center"/>
    </xf>
    <xf numFmtId="0" fontId="67" fillId="0" borderId="126" xfId="3" applyFont="1" applyBorder="1" applyAlignment="1">
      <alignment horizontal="center"/>
    </xf>
    <xf numFmtId="4" fontId="0" fillId="0" borderId="0" xfId="0" applyNumberFormat="1"/>
    <xf numFmtId="164" fontId="0" fillId="0" borderId="0" xfId="2" applyFont="1"/>
    <xf numFmtId="0" fontId="82" fillId="0" borderId="125" xfId="3" applyNumberFormat="1" applyFont="1" applyFill="1" applyBorder="1" applyAlignment="1">
      <alignment horizontal="center"/>
    </xf>
    <xf numFmtId="164" fontId="1" fillId="0" borderId="127" xfId="2" applyFont="1" applyFill="1" applyBorder="1"/>
    <xf numFmtId="164" fontId="4" fillId="26" borderId="73" xfId="2" applyFont="1" applyFill="1" applyBorder="1" applyAlignment="1">
      <alignment horizontal="center" vertical="center"/>
    </xf>
    <xf numFmtId="0" fontId="11" fillId="29" borderId="74" xfId="0" applyNumberFormat="1" applyFont="1" applyFill="1" applyBorder="1" applyAlignment="1" applyProtection="1">
      <alignment horizontal="center" vertical="center"/>
      <protection locked="0"/>
    </xf>
    <xf numFmtId="0" fontId="4" fillId="15" borderId="1" xfId="0" applyNumberFormat="1" applyFont="1" applyFill="1" applyBorder="1" applyAlignment="1" applyProtection="1">
      <alignment horizontal="center" vertical="center" wrapText="1"/>
    </xf>
    <xf numFmtId="0" fontId="31" fillId="2" borderId="25" xfId="0" applyFont="1" applyFill="1" applyBorder="1" applyAlignment="1" applyProtection="1">
      <alignment vertical="center"/>
    </xf>
    <xf numFmtId="0" fontId="30" fillId="27" borderId="3" xfId="0" applyNumberFormat="1" applyFont="1" applyFill="1" applyBorder="1" applyAlignment="1" applyProtection="1">
      <alignment horizontal="center" vertical="center"/>
    </xf>
    <xf numFmtId="165" fontId="0" fillId="0" borderId="0" xfId="10" applyNumberFormat="1" applyFont="1" applyAlignment="1" applyProtection="1">
      <alignment vertical="center" wrapText="1"/>
    </xf>
    <xf numFmtId="166" fontId="1" fillId="0" borderId="0" xfId="10" applyNumberFormat="1" applyFont="1" applyAlignment="1" applyProtection="1">
      <alignment vertical="center" wrapText="1"/>
    </xf>
    <xf numFmtId="164" fontId="1" fillId="0" borderId="0" xfId="2" applyFont="1"/>
    <xf numFmtId="14" fontId="73" fillId="2" borderId="0" xfId="0" applyNumberFormat="1" applyFont="1" applyFill="1" applyAlignment="1" applyProtection="1">
      <alignment vertical="center"/>
    </xf>
    <xf numFmtId="14" fontId="0" fillId="0" borderId="0" xfId="0" applyNumberFormat="1"/>
    <xf numFmtId="0" fontId="1" fillId="20" borderId="0" xfId="0" applyFont="1" applyFill="1"/>
    <xf numFmtId="0" fontId="1" fillId="30" borderId="0" xfId="0" applyFont="1" applyFill="1"/>
    <xf numFmtId="0" fontId="30" fillId="31" borderId="3" xfId="0" applyNumberFormat="1" applyFont="1" applyFill="1" applyBorder="1" applyAlignment="1" applyProtection="1">
      <alignment horizontal="center" vertical="center"/>
      <protection locked="0"/>
    </xf>
    <xf numFmtId="0" fontId="80" fillId="31" borderId="3" xfId="0" applyFont="1" applyFill="1" applyBorder="1" applyAlignment="1" applyProtection="1">
      <alignment horizontal="center" vertical="center"/>
      <protection locked="0"/>
    </xf>
    <xf numFmtId="3" fontId="29" fillId="31" borderId="3" xfId="1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36" borderId="3" xfId="0" applyFill="1" applyBorder="1"/>
    <xf numFmtId="0" fontId="74" fillId="2" borderId="18" xfId="0" applyFont="1" applyFill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164" fontId="0" fillId="0" borderId="0" xfId="2" applyFont="1" applyAlignment="1">
      <alignment vertical="center"/>
    </xf>
    <xf numFmtId="43" fontId="93" fillId="2" borderId="0" xfId="0" applyNumberFormat="1" applyFont="1" applyFill="1" applyAlignment="1" applyProtection="1">
      <alignment vertic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/>
    <xf numFmtId="167" fontId="0" fillId="0" borderId="0" xfId="0" applyNumberFormat="1" applyFill="1" applyBorder="1"/>
    <xf numFmtId="0" fontId="0" fillId="0" borderId="0" xfId="0" applyFill="1" applyBorder="1"/>
    <xf numFmtId="14" fontId="0" fillId="0" borderId="0" xfId="0" applyNumberFormat="1" applyFill="1" applyBorder="1"/>
    <xf numFmtId="168" fontId="0" fillId="0" borderId="0" xfId="4" applyNumberFormat="1" applyFont="1" applyFill="1" applyBorder="1"/>
    <xf numFmtId="167" fontId="1" fillId="0" borderId="0" xfId="0" applyNumberFormat="1" applyFont="1" applyFill="1" applyBorder="1"/>
    <xf numFmtId="167" fontId="1" fillId="0" borderId="0" xfId="4" applyNumberFormat="1" applyFont="1" applyFill="1" applyBorder="1"/>
    <xf numFmtId="181" fontId="0" fillId="0" borderId="0" xfId="4" applyNumberFormat="1" applyFont="1" applyFill="1" applyBorder="1"/>
    <xf numFmtId="1" fontId="0" fillId="2" borderId="0" xfId="0" applyNumberFormat="1" applyFill="1" applyAlignment="1" applyProtection="1">
      <alignment vertical="center"/>
    </xf>
    <xf numFmtId="1" fontId="73" fillId="2" borderId="0" xfId="0" applyNumberFormat="1" applyFont="1" applyFill="1" applyAlignment="1" applyProtection="1">
      <alignment vertical="center"/>
    </xf>
    <xf numFmtId="0" fontId="62" fillId="2" borderId="0" xfId="0" applyFont="1" applyFill="1" applyAlignment="1" applyProtection="1">
      <alignment vertical="center"/>
    </xf>
    <xf numFmtId="0" fontId="43" fillId="0" borderId="0" xfId="0" applyFont="1" applyFill="1" applyAlignment="1" applyProtection="1">
      <alignment vertical="center"/>
    </xf>
    <xf numFmtId="0" fontId="58" fillId="0" borderId="0" xfId="0" applyFont="1" applyFill="1" applyBorder="1" applyAlignment="1" applyProtection="1">
      <alignment horizontal="center" vertical="center" wrapText="1"/>
    </xf>
    <xf numFmtId="165" fontId="19" fillId="0" borderId="0" xfId="10" applyNumberFormat="1" applyFont="1" applyFill="1" applyBorder="1" applyAlignment="1" applyProtection="1">
      <alignment vertical="center"/>
    </xf>
    <xf numFmtId="164" fontId="11" fillId="0" borderId="24" xfId="2" applyFont="1" applyFill="1" applyBorder="1" applyAlignment="1" applyProtection="1">
      <alignment horizontal="center" vertical="center"/>
    </xf>
    <xf numFmtId="164" fontId="11" fillId="0" borderId="23" xfId="2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center" vertical="center"/>
    </xf>
    <xf numFmtId="165" fontId="0" fillId="0" borderId="0" xfId="10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73" fillId="0" borderId="0" xfId="0" applyFont="1" applyFill="1" applyAlignment="1" applyProtection="1">
      <alignment vertical="center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164" fontId="11" fillId="0" borderId="0" xfId="2" applyNumberFormat="1" applyFont="1" applyFill="1" applyBorder="1" applyAlignment="1" applyProtection="1">
      <alignment horizontal="center" vertical="center"/>
    </xf>
    <xf numFmtId="10" fontId="11" fillId="0" borderId="93" xfId="4" applyNumberFormat="1" applyFont="1" applyFill="1" applyBorder="1" applyAlignment="1" applyProtection="1">
      <alignment horizontal="center" vertical="center"/>
    </xf>
    <xf numFmtId="0" fontId="48" fillId="0" borderId="88" xfId="0" applyFont="1" applyFill="1" applyBorder="1" applyAlignment="1" applyProtection="1">
      <alignment horizontal="center" vertical="center" wrapText="1"/>
    </xf>
    <xf numFmtId="43" fontId="0" fillId="2" borderId="25" xfId="0" applyNumberFormat="1" applyFill="1" applyBorder="1" applyAlignment="1" applyProtection="1">
      <alignment vertical="center"/>
    </xf>
    <xf numFmtId="166" fontId="0" fillId="0" borderId="0" xfId="0" applyNumberFormat="1" applyAlignment="1" applyProtection="1">
      <alignment vertical="center" wrapText="1"/>
    </xf>
    <xf numFmtId="165" fontId="1" fillId="0" borderId="0" xfId="10" applyFont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47" fillId="2" borderId="0" xfId="0" applyFont="1" applyFill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left" vertical="center"/>
    </xf>
    <xf numFmtId="165" fontId="11" fillId="2" borderId="24" xfId="10" applyFont="1" applyFill="1" applyBorder="1" applyAlignment="1" applyProtection="1">
      <alignment horizontal="center" vertical="center"/>
    </xf>
    <xf numFmtId="165" fontId="11" fillId="2" borderId="0" xfId="10" applyFont="1" applyFill="1" applyBorder="1" applyAlignment="1" applyProtection="1">
      <alignment horizontal="center" vertical="center"/>
    </xf>
    <xf numFmtId="0" fontId="47" fillId="2" borderId="0" xfId="0" applyFont="1" applyFill="1" applyAlignment="1" applyProtection="1">
      <alignment horizontal="left" vertical="center"/>
    </xf>
    <xf numFmtId="0" fontId="47" fillId="2" borderId="0" xfId="0" applyFont="1" applyFill="1" applyAlignment="1" applyProtection="1">
      <alignment horizontal="center" vertical="center"/>
    </xf>
    <xf numFmtId="0" fontId="47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17" fontId="11" fillId="2" borderId="0" xfId="0" applyNumberFormat="1" applyFont="1" applyFill="1" applyBorder="1" applyAlignment="1" applyProtection="1">
      <alignment horizontal="center" vertical="center"/>
    </xf>
    <xf numFmtId="0" fontId="4" fillId="5" borderId="27" xfId="0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center" vertical="center" wrapText="1"/>
    </xf>
    <xf numFmtId="7" fontId="37" fillId="2" borderId="0" xfId="0" applyNumberFormat="1" applyFont="1" applyFill="1" applyAlignment="1" applyProtection="1">
      <alignment horizontal="center" vertical="center"/>
    </xf>
    <xf numFmtId="178" fontId="37" fillId="2" borderId="0" xfId="0" applyNumberFormat="1" applyFont="1" applyFill="1" applyAlignment="1" applyProtection="1">
      <alignment horizontal="center" vertical="center"/>
    </xf>
    <xf numFmtId="165" fontId="47" fillId="2" borderId="0" xfId="1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/>
    </xf>
    <xf numFmtId="43" fontId="1" fillId="2" borderId="0" xfId="0" applyNumberFormat="1" applyFont="1" applyFill="1" applyAlignment="1" applyProtection="1">
      <alignment vertical="center"/>
    </xf>
    <xf numFmtId="14" fontId="0" fillId="0" borderId="0" xfId="0" applyNumberFormat="1" applyFill="1"/>
    <xf numFmtId="165" fontId="12" fillId="27" borderId="0" xfId="1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 applyProtection="1">
      <alignment horizontal="center" vertical="center" wrapText="1"/>
    </xf>
    <xf numFmtId="0" fontId="64" fillId="26" borderId="0" xfId="0" applyFont="1" applyFill="1" applyBorder="1" applyAlignment="1" applyProtection="1">
      <alignment vertical="center"/>
    </xf>
    <xf numFmtId="164" fontId="44" fillId="0" borderId="0" xfId="2" applyFont="1" applyFill="1" applyBorder="1" applyAlignment="1" applyProtection="1">
      <alignment vertical="center" wrapText="1"/>
    </xf>
    <xf numFmtId="164" fontId="29" fillId="0" borderId="0" xfId="2" applyFont="1" applyFill="1" applyBorder="1" applyAlignment="1" applyProtection="1">
      <alignment horizontal="center" vertical="center"/>
    </xf>
    <xf numFmtId="164" fontId="20" fillId="0" borderId="0" xfId="2" applyFont="1" applyFill="1" applyBorder="1" applyAlignment="1" applyProtection="1">
      <alignment horizontal="center" vertical="center"/>
    </xf>
    <xf numFmtId="0" fontId="80" fillId="0" borderId="0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center" vertical="center" wrapText="1"/>
    </xf>
    <xf numFmtId="0" fontId="11" fillId="0" borderId="0" xfId="2" applyNumberFormat="1" applyFont="1" applyFill="1" applyBorder="1" applyAlignment="1" applyProtection="1">
      <alignment horizontal="center" vertical="center"/>
    </xf>
    <xf numFmtId="4" fontId="0" fillId="0" borderId="0" xfId="0" applyNumberFormat="1" applyAlignment="1" applyProtection="1">
      <alignment vertical="center" wrapText="1"/>
    </xf>
    <xf numFmtId="0" fontId="1" fillId="0" borderId="3" xfId="0" applyFont="1" applyBorder="1" applyAlignment="1" applyProtection="1">
      <alignment vertical="center"/>
    </xf>
    <xf numFmtId="43" fontId="0" fillId="0" borderId="0" xfId="0" applyNumberFormat="1" applyAlignment="1" applyProtection="1">
      <alignment vertical="center" wrapText="1"/>
    </xf>
    <xf numFmtId="8" fontId="0" fillId="0" borderId="0" xfId="0" applyNumberFormat="1" applyAlignment="1" applyProtection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77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4" fillId="25" borderId="15" xfId="0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/>
    </xf>
    <xf numFmtId="0" fontId="94" fillId="14" borderId="8" xfId="0" applyFont="1" applyFill="1" applyBorder="1" applyAlignment="1">
      <alignment horizontal="center" vertical="center"/>
    </xf>
    <xf numFmtId="0" fontId="94" fillId="14" borderId="0" xfId="0" applyFont="1" applyFill="1" applyBorder="1" applyAlignment="1">
      <alignment horizontal="center" vertical="center"/>
    </xf>
    <xf numFmtId="0" fontId="11" fillId="15" borderId="74" xfId="0" applyFont="1" applyFill="1" applyBorder="1" applyAlignment="1" applyProtection="1">
      <alignment horizontal="center" vertical="center"/>
    </xf>
    <xf numFmtId="0" fontId="11" fillId="15" borderId="84" xfId="0" applyFont="1" applyFill="1" applyBorder="1" applyAlignment="1" applyProtection="1">
      <alignment horizontal="center" vertical="center"/>
    </xf>
    <xf numFmtId="0" fontId="11" fillId="15" borderId="75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17" fontId="11" fillId="15" borderId="1" xfId="0" applyNumberFormat="1" applyFont="1" applyFill="1" applyBorder="1" applyAlignment="1" applyProtection="1">
      <alignment horizontal="center" vertical="center"/>
    </xf>
    <xf numFmtId="17" fontId="11" fillId="2" borderId="0" xfId="0" applyNumberFormat="1" applyFont="1" applyFill="1" applyBorder="1" applyAlignment="1" applyProtection="1">
      <alignment horizontal="center" vertical="center"/>
    </xf>
    <xf numFmtId="164" fontId="11" fillId="15" borderId="74" xfId="2" applyFont="1" applyFill="1" applyBorder="1" applyAlignment="1" applyProtection="1">
      <alignment horizontal="center" vertical="center"/>
    </xf>
    <xf numFmtId="164" fontId="11" fillId="15" borderId="84" xfId="2" applyFont="1" applyFill="1" applyBorder="1" applyAlignment="1" applyProtection="1">
      <alignment horizontal="center" vertical="center"/>
    </xf>
    <xf numFmtId="164" fontId="11" fillId="15" borderId="75" xfId="2" applyFont="1" applyFill="1" applyBorder="1" applyAlignment="1" applyProtection="1">
      <alignment horizontal="center" vertical="center"/>
    </xf>
    <xf numFmtId="0" fontId="35" fillId="34" borderId="85" xfId="0" applyFont="1" applyFill="1" applyBorder="1" applyAlignment="1" applyProtection="1">
      <alignment horizontal="center" vertical="center" wrapText="1"/>
    </xf>
    <xf numFmtId="0" fontId="35" fillId="34" borderId="0" xfId="0" applyFont="1" applyFill="1" applyBorder="1" applyAlignment="1" applyProtection="1">
      <alignment horizontal="center" vertical="center" wrapText="1"/>
    </xf>
    <xf numFmtId="0" fontId="4" fillId="6" borderId="85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58" fillId="34" borderId="0" xfId="0" applyFont="1" applyFill="1" applyBorder="1" applyAlignment="1" applyProtection="1">
      <alignment horizontal="center" vertical="center" wrapText="1"/>
    </xf>
    <xf numFmtId="164" fontId="11" fillId="27" borderId="81" xfId="2" applyFont="1" applyFill="1" applyBorder="1" applyAlignment="1" applyProtection="1">
      <alignment horizontal="center" vertical="center"/>
    </xf>
    <xf numFmtId="164" fontId="11" fillId="27" borderId="83" xfId="2" applyFont="1" applyFill="1" applyBorder="1" applyAlignment="1" applyProtection="1">
      <alignment horizontal="center" vertical="center"/>
    </xf>
    <xf numFmtId="164" fontId="11" fillId="27" borderId="82" xfId="2" applyFont="1" applyFill="1" applyBorder="1" applyAlignment="1" applyProtection="1">
      <alignment horizontal="center" vertical="center"/>
    </xf>
    <xf numFmtId="164" fontId="11" fillId="12" borderId="6" xfId="2" applyFont="1" applyFill="1" applyBorder="1" applyAlignment="1" applyProtection="1">
      <alignment horizontal="center" vertical="center"/>
      <protection locked="0"/>
    </xf>
    <xf numFmtId="164" fontId="29" fillId="35" borderId="74" xfId="2" applyFont="1" applyFill="1" applyBorder="1" applyAlignment="1" applyProtection="1">
      <alignment horizontal="center" vertical="center"/>
    </xf>
    <xf numFmtId="164" fontId="29" fillId="35" borderId="84" xfId="2" applyFont="1" applyFill="1" applyBorder="1" applyAlignment="1" applyProtection="1">
      <alignment horizontal="center" vertical="center"/>
    </xf>
    <xf numFmtId="164" fontId="29" fillId="35" borderId="75" xfId="2" applyFont="1" applyFill="1" applyBorder="1" applyAlignment="1" applyProtection="1">
      <alignment horizontal="center" vertical="center"/>
    </xf>
    <xf numFmtId="164" fontId="85" fillId="0" borderId="0" xfId="2" applyFont="1" applyFill="1" applyBorder="1" applyAlignment="1" applyProtection="1">
      <alignment horizontal="center" vertical="center"/>
    </xf>
    <xf numFmtId="17" fontId="72" fillId="15" borderId="1" xfId="0" applyNumberFormat="1" applyFont="1" applyFill="1" applyBorder="1" applyAlignment="1" applyProtection="1">
      <alignment horizontal="center" vertical="center"/>
    </xf>
    <xf numFmtId="164" fontId="11" fillId="15" borderId="1" xfId="2" applyFont="1" applyFill="1" applyBorder="1" applyAlignment="1" applyProtection="1">
      <alignment horizontal="center" vertical="center"/>
    </xf>
    <xf numFmtId="0" fontId="76" fillId="27" borderId="3" xfId="0" applyFont="1" applyFill="1" applyBorder="1" applyAlignment="1" applyProtection="1">
      <alignment horizontal="center" vertical="center"/>
    </xf>
    <xf numFmtId="165" fontId="11" fillId="2" borderId="0" xfId="10" applyFont="1" applyFill="1" applyBorder="1" applyAlignment="1" applyProtection="1">
      <alignment horizontal="center" vertical="center"/>
    </xf>
    <xf numFmtId="0" fontId="11" fillId="15" borderId="1" xfId="0" applyFont="1" applyFill="1" applyBorder="1" applyAlignment="1" applyProtection="1">
      <alignment horizontal="center" vertical="center"/>
    </xf>
    <xf numFmtId="0" fontId="4" fillId="15" borderId="1" xfId="0" applyFont="1" applyFill="1" applyBorder="1" applyAlignment="1" applyProtection="1">
      <alignment horizontal="center" vertical="center"/>
    </xf>
    <xf numFmtId="0" fontId="13" fillId="2" borderId="99" xfId="0" applyFont="1" applyFill="1" applyBorder="1" applyAlignment="1" applyProtection="1">
      <alignment horizontal="center" vertical="center" wrapText="1"/>
    </xf>
    <xf numFmtId="17" fontId="11" fillId="15" borderId="81" xfId="0" applyNumberFormat="1" applyFont="1" applyFill="1" applyBorder="1" applyAlignment="1" applyProtection="1">
      <alignment horizontal="center" vertical="center"/>
    </xf>
    <xf numFmtId="17" fontId="11" fillId="15" borderId="83" xfId="0" applyNumberFormat="1" applyFont="1" applyFill="1" applyBorder="1" applyAlignment="1" applyProtection="1">
      <alignment horizontal="center" vertical="center"/>
    </xf>
    <xf numFmtId="17" fontId="11" fillId="15" borderId="82" xfId="0" applyNumberFormat="1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 wrapText="1"/>
    </xf>
    <xf numFmtId="0" fontId="49" fillId="2" borderId="21" xfId="0" applyFont="1" applyFill="1" applyBorder="1" applyAlignment="1" applyProtection="1">
      <alignment horizontal="center" vertical="center" wrapText="1"/>
    </xf>
    <xf numFmtId="0" fontId="49" fillId="2" borderId="0" xfId="0" applyFont="1" applyFill="1" applyBorder="1" applyAlignment="1" applyProtection="1">
      <alignment horizontal="center" vertical="center" wrapText="1"/>
    </xf>
    <xf numFmtId="0" fontId="11" fillId="15" borderId="81" xfId="0" applyNumberFormat="1" applyFont="1" applyFill="1" applyBorder="1" applyAlignment="1" applyProtection="1">
      <alignment horizontal="center" vertical="center"/>
    </xf>
    <xf numFmtId="0" fontId="11" fillId="15" borderId="82" xfId="0" applyNumberFormat="1" applyFont="1" applyFill="1" applyBorder="1" applyAlignment="1" applyProtection="1">
      <alignment horizontal="center" vertical="center"/>
    </xf>
    <xf numFmtId="0" fontId="83" fillId="23" borderId="0" xfId="0" applyFont="1" applyFill="1" applyBorder="1" applyAlignment="1" applyProtection="1">
      <alignment horizontal="center" vertical="center"/>
    </xf>
    <xf numFmtId="0" fontId="74" fillId="3" borderId="78" xfId="0" applyFont="1" applyFill="1" applyBorder="1" applyAlignment="1" applyProtection="1">
      <alignment horizontal="center" vertical="center" wrapText="1"/>
    </xf>
    <xf numFmtId="0" fontId="74" fillId="3" borderId="79" xfId="0" applyFont="1" applyFill="1" applyBorder="1" applyAlignment="1" applyProtection="1">
      <alignment horizontal="center" vertical="center" wrapText="1"/>
    </xf>
    <xf numFmtId="0" fontId="74" fillId="3" borderId="80" xfId="0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 applyProtection="1">
      <alignment horizontal="right" vertical="center"/>
    </xf>
    <xf numFmtId="0" fontId="31" fillId="2" borderId="0" xfId="0" applyFont="1" applyFill="1" applyBorder="1" applyAlignment="1" applyProtection="1">
      <alignment horizontal="center" vertical="center"/>
    </xf>
    <xf numFmtId="0" fontId="70" fillId="32" borderId="4" xfId="0" applyFont="1" applyFill="1" applyBorder="1" applyAlignment="1" applyProtection="1">
      <alignment horizontal="center" vertical="center"/>
    </xf>
    <xf numFmtId="0" fontId="70" fillId="32" borderId="33" xfId="0" applyFont="1" applyFill="1" applyBorder="1" applyAlignment="1" applyProtection="1">
      <alignment horizontal="center" vertical="center"/>
    </xf>
    <xf numFmtId="17" fontId="70" fillId="15" borderId="81" xfId="0" applyNumberFormat="1" applyFont="1" applyFill="1" applyBorder="1" applyAlignment="1" applyProtection="1">
      <alignment horizontal="center" vertical="center"/>
    </xf>
    <xf numFmtId="17" fontId="70" fillId="15" borderId="83" xfId="0" applyNumberFormat="1" applyFont="1" applyFill="1" applyBorder="1" applyAlignment="1" applyProtection="1">
      <alignment horizontal="center" vertical="center"/>
    </xf>
    <xf numFmtId="17" fontId="70" fillId="15" borderId="82" xfId="0" applyNumberFormat="1" applyFont="1" applyFill="1" applyBorder="1" applyAlignment="1" applyProtection="1">
      <alignment horizontal="center" vertical="center"/>
    </xf>
    <xf numFmtId="0" fontId="11" fillId="12" borderId="4" xfId="2" applyNumberFormat="1" applyFont="1" applyFill="1" applyBorder="1" applyAlignment="1" applyProtection="1">
      <alignment horizontal="center" vertical="center"/>
      <protection locked="0"/>
    </xf>
    <xf numFmtId="0" fontId="11" fillId="12" borderId="33" xfId="2" applyNumberFormat="1" applyFont="1" applyFill="1" applyBorder="1" applyAlignment="1" applyProtection="1">
      <alignment horizontal="center" vertical="center"/>
      <protection locked="0"/>
    </xf>
    <xf numFmtId="17" fontId="70" fillId="0" borderId="21" xfId="0" applyNumberFormat="1" applyFont="1" applyFill="1" applyBorder="1" applyAlignment="1" applyProtection="1">
      <alignment horizontal="center" vertical="center"/>
    </xf>
    <xf numFmtId="17" fontId="70" fillId="0" borderId="22" xfId="0" applyNumberFormat="1" applyFont="1" applyFill="1" applyBorder="1" applyAlignment="1" applyProtection="1">
      <alignment horizontal="center" vertical="center"/>
    </xf>
    <xf numFmtId="164" fontId="11" fillId="27" borderId="4" xfId="2" applyFont="1" applyFill="1" applyBorder="1" applyAlignment="1" applyProtection="1">
      <alignment horizontal="center" vertical="center"/>
    </xf>
    <xf numFmtId="164" fontId="11" fillId="27" borderId="6" xfId="2" applyFont="1" applyFill="1" applyBorder="1" applyAlignment="1" applyProtection="1">
      <alignment horizontal="center" vertical="center"/>
    </xf>
    <xf numFmtId="164" fontId="11" fillId="27" borderId="104" xfId="2" applyFont="1" applyFill="1" applyBorder="1" applyAlignment="1" applyProtection="1">
      <alignment horizontal="center" vertical="center"/>
    </xf>
    <xf numFmtId="0" fontId="11" fillId="32" borderId="4" xfId="0" applyFont="1" applyFill="1" applyBorder="1" applyAlignment="1" applyProtection="1">
      <alignment horizontal="center" vertical="center"/>
    </xf>
    <xf numFmtId="0" fontId="11" fillId="32" borderId="33" xfId="0" applyFont="1" applyFill="1" applyBorder="1" applyAlignment="1" applyProtection="1">
      <alignment horizontal="center" vertical="center"/>
    </xf>
    <xf numFmtId="0" fontId="72" fillId="15" borderId="75" xfId="0" applyNumberFormat="1" applyFont="1" applyFill="1" applyBorder="1" applyAlignment="1" applyProtection="1">
      <alignment horizontal="center" vertical="center"/>
    </xf>
    <xf numFmtId="0" fontId="72" fillId="15" borderId="1" xfId="0" applyNumberFormat="1" applyFont="1" applyFill="1" applyBorder="1" applyAlignment="1" applyProtection="1">
      <alignment horizontal="center" vertical="center"/>
    </xf>
    <xf numFmtId="0" fontId="72" fillId="32" borderId="74" xfId="0" applyFont="1" applyFill="1" applyBorder="1" applyAlignment="1" applyProtection="1">
      <alignment horizontal="center" vertical="center"/>
    </xf>
    <xf numFmtId="0" fontId="72" fillId="32" borderId="75" xfId="0" applyFont="1" applyFill="1" applyBorder="1" applyAlignment="1" applyProtection="1">
      <alignment horizontal="center" vertical="center"/>
    </xf>
    <xf numFmtId="175" fontId="12" fillId="2" borderId="4" xfId="2" applyNumberFormat="1" applyFont="1" applyFill="1" applyBorder="1" applyAlignment="1" applyProtection="1">
      <alignment horizontal="center" vertical="center"/>
    </xf>
    <xf numFmtId="175" fontId="12" fillId="2" borderId="33" xfId="2" applyNumberFormat="1" applyFont="1" applyFill="1" applyBorder="1" applyAlignment="1" applyProtection="1">
      <alignment horizontal="center" vertical="center"/>
    </xf>
    <xf numFmtId="164" fontId="11" fillId="15" borderId="4" xfId="2" applyFont="1" applyFill="1" applyBorder="1" applyAlignment="1" applyProtection="1">
      <alignment horizontal="center" vertical="center"/>
    </xf>
    <xf numFmtId="164" fontId="11" fillId="15" borderId="6" xfId="2" applyFont="1" applyFill="1" applyBorder="1" applyAlignment="1" applyProtection="1">
      <alignment horizontal="center" vertical="center"/>
    </xf>
    <xf numFmtId="164" fontId="11" fillId="15" borderId="33" xfId="2" applyFont="1" applyFill="1" applyBorder="1" applyAlignment="1" applyProtection="1">
      <alignment horizontal="center" vertical="center"/>
    </xf>
    <xf numFmtId="0" fontId="72" fillId="33" borderId="74" xfId="2" applyNumberFormat="1" applyFont="1" applyFill="1" applyBorder="1" applyAlignment="1" applyProtection="1">
      <alignment horizontal="center" vertical="center"/>
    </xf>
    <xf numFmtId="0" fontId="72" fillId="33" borderId="84" xfId="2" applyNumberFormat="1" applyFont="1" applyFill="1" applyBorder="1" applyAlignment="1" applyProtection="1">
      <alignment horizontal="center" vertical="center"/>
    </xf>
    <xf numFmtId="0" fontId="70" fillId="15" borderId="81" xfId="0" applyNumberFormat="1" applyFont="1" applyFill="1" applyBorder="1" applyAlignment="1" applyProtection="1">
      <alignment horizontal="center" vertical="center"/>
    </xf>
    <xf numFmtId="0" fontId="70" fillId="15" borderId="82" xfId="0" applyNumberFormat="1" applyFont="1" applyFill="1" applyBorder="1" applyAlignment="1" applyProtection="1">
      <alignment horizontal="center" vertical="center"/>
    </xf>
    <xf numFmtId="0" fontId="74" fillId="2" borderId="0" xfId="0" applyNumberFormat="1" applyFont="1" applyFill="1" applyBorder="1" applyAlignment="1" applyProtection="1">
      <alignment horizontal="center" vertical="center"/>
    </xf>
    <xf numFmtId="0" fontId="47" fillId="15" borderId="1" xfId="0" applyFont="1" applyFill="1" applyBorder="1" applyAlignment="1" applyProtection="1">
      <alignment horizontal="center" vertical="center" wrapText="1"/>
    </xf>
    <xf numFmtId="0" fontId="28" fillId="2" borderId="27" xfId="0" applyFont="1" applyFill="1" applyBorder="1" applyAlignment="1" applyProtection="1">
      <alignment horizontal="center" vertical="center" textRotation="255" wrapText="1"/>
    </xf>
    <xf numFmtId="0" fontId="28" fillId="2" borderId="22" xfId="0" applyFont="1" applyFill="1" applyBorder="1" applyAlignment="1" applyProtection="1">
      <alignment horizontal="center" vertical="center" textRotation="255" wrapText="1"/>
    </xf>
    <xf numFmtId="0" fontId="28" fillId="2" borderId="24" xfId="0" applyFont="1" applyFill="1" applyBorder="1" applyAlignment="1" applyProtection="1">
      <alignment horizontal="center" vertical="center" textRotation="255" wrapText="1"/>
    </xf>
    <xf numFmtId="0" fontId="28" fillId="2" borderId="23" xfId="0" applyFont="1" applyFill="1" applyBorder="1" applyAlignment="1" applyProtection="1">
      <alignment horizontal="center" vertical="center" textRotation="255" wrapText="1"/>
    </xf>
    <xf numFmtId="0" fontId="28" fillId="2" borderId="18" xfId="0" applyFont="1" applyFill="1" applyBorder="1" applyAlignment="1" applyProtection="1">
      <alignment horizontal="center" vertical="center" textRotation="255" wrapText="1"/>
    </xf>
    <xf numFmtId="0" fontId="28" fillId="2" borderId="26" xfId="0" applyFont="1" applyFill="1" applyBorder="1" applyAlignment="1" applyProtection="1">
      <alignment horizontal="center" vertical="center" textRotation="255" wrapText="1"/>
    </xf>
    <xf numFmtId="0" fontId="72" fillId="33" borderId="1" xfId="0" applyNumberFormat="1" applyFont="1" applyFill="1" applyBorder="1" applyAlignment="1" applyProtection="1">
      <alignment horizontal="center" vertical="center"/>
    </xf>
    <xf numFmtId="164" fontId="72" fillId="33" borderId="74" xfId="2" applyFont="1" applyFill="1" applyBorder="1" applyAlignment="1" applyProtection="1">
      <alignment horizontal="center" vertical="center"/>
    </xf>
    <xf numFmtId="164" fontId="72" fillId="33" borderId="84" xfId="2" applyFont="1" applyFill="1" applyBorder="1" applyAlignment="1" applyProtection="1">
      <alignment horizontal="center" vertical="center"/>
    </xf>
    <xf numFmtId="164" fontId="72" fillId="33" borderId="75" xfId="2" applyFont="1" applyFill="1" applyBorder="1" applyAlignment="1" applyProtection="1">
      <alignment horizontal="center" vertical="center"/>
    </xf>
    <xf numFmtId="0" fontId="84" fillId="23" borderId="0" xfId="0" applyFont="1" applyFill="1" applyBorder="1" applyAlignment="1" applyProtection="1">
      <alignment horizontal="center" vertical="center" wrapText="1"/>
    </xf>
    <xf numFmtId="0" fontId="30" fillId="25" borderId="27" xfId="0" applyFont="1" applyFill="1" applyBorder="1" applyAlignment="1" applyProtection="1">
      <alignment horizontal="center" vertical="center" textRotation="255" wrapText="1"/>
    </xf>
    <xf numFmtId="0" fontId="30" fillId="25" borderId="22" xfId="0" applyFont="1" applyFill="1" applyBorder="1" applyAlignment="1" applyProtection="1">
      <alignment horizontal="center" vertical="center" textRotation="255" wrapText="1"/>
    </xf>
    <xf numFmtId="0" fontId="30" fillId="25" borderId="24" xfId="0" applyFont="1" applyFill="1" applyBorder="1" applyAlignment="1" applyProtection="1">
      <alignment horizontal="center" vertical="center" textRotation="255" wrapText="1"/>
    </xf>
    <xf numFmtId="0" fontId="30" fillId="25" borderId="23" xfId="0" applyFont="1" applyFill="1" applyBorder="1" applyAlignment="1" applyProtection="1">
      <alignment horizontal="center" vertical="center" textRotation="255" wrapText="1"/>
    </xf>
    <xf numFmtId="0" fontId="30" fillId="25" borderId="18" xfId="0" applyFont="1" applyFill="1" applyBorder="1" applyAlignment="1" applyProtection="1">
      <alignment horizontal="center" vertical="center" textRotation="255" wrapText="1"/>
    </xf>
    <xf numFmtId="0" fontId="30" fillId="25" borderId="26" xfId="0" applyFont="1" applyFill="1" applyBorder="1" applyAlignment="1" applyProtection="1">
      <alignment horizontal="center" vertical="center" textRotation="255" wrapText="1"/>
    </xf>
    <xf numFmtId="164" fontId="70" fillId="27" borderId="81" xfId="2" applyFont="1" applyFill="1" applyBorder="1" applyAlignment="1" applyProtection="1">
      <alignment horizontal="center" vertical="center"/>
    </xf>
    <xf numFmtId="164" fontId="70" fillId="27" borderId="83" xfId="2" applyFont="1" applyFill="1" applyBorder="1" applyAlignment="1" applyProtection="1">
      <alignment horizontal="center" vertical="center"/>
    </xf>
    <xf numFmtId="164" fontId="70" fillId="27" borderId="82" xfId="2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center" vertical="center" wrapText="1"/>
    </xf>
    <xf numFmtId="0" fontId="33" fillId="9" borderId="0" xfId="0" applyFont="1" applyFill="1" applyAlignment="1" applyProtection="1">
      <alignment horizontal="center" vertical="center"/>
    </xf>
    <xf numFmtId="175" fontId="12" fillId="2" borderId="24" xfId="2" applyNumberFormat="1" applyFont="1" applyFill="1" applyBorder="1" applyAlignment="1" applyProtection="1">
      <alignment horizontal="center" vertical="center"/>
    </xf>
    <xf numFmtId="175" fontId="12" fillId="2" borderId="23" xfId="2" applyNumberFormat="1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175" fontId="12" fillId="2" borderId="6" xfId="2" applyNumberFormat="1" applyFont="1" applyFill="1" applyBorder="1" applyAlignment="1" applyProtection="1">
      <alignment horizontal="center" vertical="center"/>
    </xf>
    <xf numFmtId="0" fontId="52" fillId="6" borderId="0" xfId="0" applyFont="1" applyFill="1" applyBorder="1" applyAlignment="1" applyProtection="1">
      <alignment horizontal="center" vertical="center" wrapText="1"/>
    </xf>
    <xf numFmtId="164" fontId="11" fillId="12" borderId="4" xfId="2" applyFont="1" applyFill="1" applyBorder="1" applyAlignment="1" applyProtection="1">
      <alignment horizontal="center" vertical="center"/>
      <protection locked="0"/>
    </xf>
    <xf numFmtId="164" fontId="11" fillId="12" borderId="33" xfId="2" applyFont="1" applyFill="1" applyBorder="1" applyAlignment="1" applyProtection="1">
      <alignment horizontal="center" vertical="center"/>
      <protection locked="0"/>
    </xf>
    <xf numFmtId="0" fontId="78" fillId="34" borderId="85" xfId="0" applyFont="1" applyFill="1" applyBorder="1" applyAlignment="1" applyProtection="1">
      <alignment horizontal="center" vertical="center" wrapText="1"/>
    </xf>
    <xf numFmtId="0" fontId="78" fillId="34" borderId="0" xfId="0" applyFont="1" applyFill="1" applyBorder="1" applyAlignment="1" applyProtection="1">
      <alignment horizontal="center" vertical="center" wrapText="1"/>
    </xf>
    <xf numFmtId="165" fontId="47" fillId="2" borderId="0" xfId="10" applyFont="1" applyFill="1" applyBorder="1" applyAlignment="1" applyProtection="1">
      <alignment horizontal="center" vertical="center" wrapText="1"/>
    </xf>
    <xf numFmtId="165" fontId="47" fillId="2" borderId="48" xfId="10" applyFont="1" applyFill="1" applyBorder="1" applyAlignment="1" applyProtection="1">
      <alignment horizontal="center" vertical="center" wrapText="1"/>
    </xf>
    <xf numFmtId="0" fontId="34" fillId="15" borderId="1" xfId="0" applyFont="1" applyFill="1" applyBorder="1" applyAlignment="1" applyProtection="1">
      <alignment horizontal="center" vertical="center" wrapText="1"/>
    </xf>
    <xf numFmtId="17" fontId="30" fillId="15" borderId="88" xfId="2" applyNumberFormat="1" applyFont="1" applyFill="1" applyBorder="1" applyAlignment="1" applyProtection="1">
      <alignment horizontal="center" vertical="center"/>
    </xf>
    <xf numFmtId="17" fontId="30" fillId="15" borderId="89" xfId="2" applyNumberFormat="1" applyFont="1" applyFill="1" applyBorder="1" applyAlignment="1" applyProtection="1">
      <alignment horizontal="center" vertical="center"/>
    </xf>
    <xf numFmtId="17" fontId="30" fillId="15" borderId="90" xfId="2" applyNumberFormat="1" applyFont="1" applyFill="1" applyBorder="1" applyAlignment="1" applyProtection="1">
      <alignment horizontal="center" vertical="center"/>
    </xf>
    <xf numFmtId="17" fontId="30" fillId="15" borderId="71" xfId="2" applyNumberFormat="1" applyFont="1" applyFill="1" applyBorder="1" applyAlignment="1" applyProtection="1">
      <alignment horizontal="center" vertical="center"/>
    </xf>
    <xf numFmtId="176" fontId="44" fillId="15" borderId="1" xfId="2" applyNumberFormat="1" applyFont="1" applyFill="1" applyBorder="1" applyAlignment="1" applyProtection="1">
      <alignment horizontal="center" vertical="center"/>
    </xf>
    <xf numFmtId="0" fontId="36" fillId="15" borderId="74" xfId="0" applyFont="1" applyFill="1" applyBorder="1" applyAlignment="1" applyProtection="1">
      <alignment horizontal="center" vertical="center" wrapText="1"/>
    </xf>
    <xf numFmtId="0" fontId="36" fillId="15" borderId="75" xfId="0" applyFont="1" applyFill="1" applyBorder="1" applyAlignment="1" applyProtection="1">
      <alignment horizontal="center" vertical="center" wrapText="1"/>
    </xf>
    <xf numFmtId="0" fontId="34" fillId="15" borderId="74" xfId="0" applyFont="1" applyFill="1" applyBorder="1" applyAlignment="1" applyProtection="1">
      <alignment horizontal="center" vertical="center" wrapText="1"/>
    </xf>
    <xf numFmtId="0" fontId="34" fillId="15" borderId="84" xfId="0" applyFont="1" applyFill="1" applyBorder="1" applyAlignment="1" applyProtection="1">
      <alignment horizontal="center" vertical="center" wrapText="1"/>
    </xf>
    <xf numFmtId="0" fontId="34" fillId="15" borderId="75" xfId="0" applyFont="1" applyFill="1" applyBorder="1" applyAlignment="1" applyProtection="1">
      <alignment horizontal="center" vertical="center" wrapText="1"/>
    </xf>
    <xf numFmtId="178" fontId="37" fillId="27" borderId="1" xfId="0" applyNumberFormat="1" applyFont="1" applyFill="1" applyBorder="1" applyAlignment="1" applyProtection="1">
      <alignment horizontal="center" vertical="center"/>
    </xf>
    <xf numFmtId="176" fontId="30" fillId="27" borderId="1" xfId="2" applyNumberFormat="1" applyFont="1" applyFill="1" applyBorder="1" applyAlignment="1" applyProtection="1">
      <alignment horizontal="center" vertical="center"/>
    </xf>
    <xf numFmtId="7" fontId="37" fillId="15" borderId="74" xfId="0" applyNumberFormat="1" applyFont="1" applyFill="1" applyBorder="1" applyAlignment="1" applyProtection="1">
      <alignment horizontal="center" vertical="center"/>
    </xf>
    <xf numFmtId="7" fontId="37" fillId="15" borderId="75" xfId="0" applyNumberFormat="1" applyFont="1" applyFill="1" applyBorder="1" applyAlignment="1" applyProtection="1">
      <alignment horizontal="center" vertical="center"/>
    </xf>
    <xf numFmtId="0" fontId="30" fillId="15" borderId="86" xfId="2" applyNumberFormat="1" applyFont="1" applyFill="1" applyBorder="1" applyAlignment="1" applyProtection="1">
      <alignment horizontal="center" vertical="center"/>
    </xf>
    <xf numFmtId="0" fontId="30" fillId="15" borderId="87" xfId="2" applyNumberFormat="1" applyFont="1" applyFill="1" applyBorder="1" applyAlignment="1" applyProtection="1">
      <alignment horizontal="center" vertical="center"/>
    </xf>
    <xf numFmtId="178" fontId="37" fillId="2" borderId="0" xfId="0" applyNumberFormat="1" applyFont="1" applyFill="1" applyAlignment="1" applyProtection="1">
      <alignment horizontal="center" vertical="center"/>
    </xf>
    <xf numFmtId="17" fontId="12" fillId="2" borderId="4" xfId="0" applyNumberFormat="1" applyFont="1" applyFill="1" applyBorder="1" applyAlignment="1" applyProtection="1">
      <alignment horizontal="center" vertical="center"/>
    </xf>
    <xf numFmtId="17" fontId="12" fillId="2" borderId="6" xfId="0" applyNumberFormat="1" applyFont="1" applyFill="1" applyBorder="1" applyAlignment="1" applyProtection="1">
      <alignment horizontal="center" vertical="center"/>
    </xf>
    <xf numFmtId="17" fontId="12" fillId="2" borderId="33" xfId="0" applyNumberFormat="1" applyFont="1" applyFill="1" applyBorder="1" applyAlignment="1" applyProtection="1">
      <alignment horizontal="center" vertical="center"/>
    </xf>
    <xf numFmtId="10" fontId="86" fillId="2" borderId="110" xfId="4" applyNumberFormat="1" applyFont="1" applyFill="1" applyBorder="1" applyAlignment="1" applyProtection="1">
      <alignment horizontal="center" vertical="center"/>
    </xf>
    <xf numFmtId="10" fontId="86" fillId="2" borderId="72" xfId="4" applyNumberFormat="1" applyFont="1" applyFill="1" applyBorder="1" applyAlignment="1" applyProtection="1">
      <alignment horizontal="center" vertical="center"/>
    </xf>
    <xf numFmtId="0" fontId="37" fillId="2" borderId="27" xfId="0" applyFont="1" applyFill="1" applyBorder="1" applyAlignment="1" applyProtection="1">
      <alignment horizontal="center" vertical="center"/>
    </xf>
    <xf numFmtId="0" fontId="37" fillId="2" borderId="21" xfId="0" applyFont="1" applyFill="1" applyBorder="1" applyAlignment="1" applyProtection="1">
      <alignment horizontal="center" vertical="center"/>
    </xf>
    <xf numFmtId="0" fontId="37" fillId="2" borderId="22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center" vertical="center"/>
    </xf>
    <xf numFmtId="0" fontId="37" fillId="2" borderId="23" xfId="0" applyFont="1" applyFill="1" applyBorder="1" applyAlignment="1" applyProtection="1">
      <alignment horizontal="center" vertical="center"/>
    </xf>
    <xf numFmtId="0" fontId="37" fillId="2" borderId="18" xfId="0" applyFont="1" applyFill="1" applyBorder="1" applyAlignment="1" applyProtection="1">
      <alignment horizontal="center" vertical="center"/>
    </xf>
    <xf numFmtId="0" fontId="37" fillId="2" borderId="25" xfId="0" applyFont="1" applyFill="1" applyBorder="1" applyAlignment="1" applyProtection="1">
      <alignment horizontal="center" vertical="center"/>
    </xf>
    <xf numFmtId="0" fontId="37" fillId="2" borderId="26" xfId="0" applyFont="1" applyFill="1" applyBorder="1" applyAlignment="1" applyProtection="1">
      <alignment horizontal="center" vertical="center"/>
    </xf>
    <xf numFmtId="7" fontId="37" fillId="2" borderId="0" xfId="0" applyNumberFormat="1" applyFont="1" applyFill="1" applyAlignment="1" applyProtection="1">
      <alignment horizontal="center" vertical="center"/>
    </xf>
    <xf numFmtId="176" fontId="30" fillId="15" borderId="1" xfId="2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63" fillId="9" borderId="0" xfId="0" applyFont="1" applyFill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 vertical="center"/>
    </xf>
    <xf numFmtId="0" fontId="4" fillId="5" borderId="27" xfId="0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164" fontId="11" fillId="15" borderId="94" xfId="2" applyFont="1" applyFill="1" applyBorder="1" applyAlignment="1" applyProtection="1">
      <alignment horizontal="center" vertical="center"/>
    </xf>
    <xf numFmtId="164" fontId="11" fillId="15" borderId="95" xfId="2" applyFont="1" applyFill="1" applyBorder="1" applyAlignment="1" applyProtection="1">
      <alignment horizontal="center" vertical="center"/>
    </xf>
    <xf numFmtId="164" fontId="11" fillId="15" borderId="96" xfId="2" applyFont="1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164" fontId="11" fillId="15" borderId="91" xfId="2" applyFont="1" applyFill="1" applyBorder="1" applyAlignment="1" applyProtection="1">
      <alignment horizontal="center" vertical="center"/>
    </xf>
    <xf numFmtId="164" fontId="11" fillId="15" borderId="92" xfId="2" applyFont="1" applyFill="1" applyBorder="1" applyAlignment="1" applyProtection="1">
      <alignment horizontal="center" vertical="center"/>
    </xf>
    <xf numFmtId="164" fontId="11" fillId="15" borderId="74" xfId="2" applyFont="1" applyFill="1" applyBorder="1" applyAlignment="1" applyProtection="1">
      <alignment horizontal="center" vertical="center" wrapText="1"/>
    </xf>
    <xf numFmtId="164" fontId="11" fillId="15" borderId="75" xfId="2" applyFont="1" applyFill="1" applyBorder="1" applyAlignment="1" applyProtection="1">
      <alignment horizontal="center" vertical="center" wrapText="1"/>
    </xf>
    <xf numFmtId="0" fontId="58" fillId="6" borderId="0" xfId="0" applyFont="1" applyFill="1" applyBorder="1" applyAlignment="1" applyProtection="1">
      <alignment horizontal="center" vertical="center" wrapText="1"/>
    </xf>
    <xf numFmtId="0" fontId="58" fillId="6" borderId="97" xfId="0" applyFont="1" applyFill="1" applyBorder="1" applyAlignment="1" applyProtection="1">
      <alignment horizontal="center" vertical="center" wrapText="1"/>
    </xf>
    <xf numFmtId="0" fontId="58" fillId="6" borderId="95" xfId="0" applyFont="1" applyFill="1" applyBorder="1" applyAlignment="1" applyProtection="1">
      <alignment horizontal="center" vertical="center" wrapText="1"/>
    </xf>
    <xf numFmtId="0" fontId="48" fillId="15" borderId="74" xfId="0" applyFont="1" applyFill="1" applyBorder="1" applyAlignment="1" applyProtection="1">
      <alignment horizontal="center" vertical="center" wrapText="1"/>
    </xf>
    <xf numFmtId="0" fontId="48" fillId="15" borderId="75" xfId="0" applyFont="1" applyFill="1" applyBorder="1" applyAlignment="1" applyProtection="1">
      <alignment horizontal="center" vertical="center" wrapText="1"/>
    </xf>
    <xf numFmtId="0" fontId="0" fillId="2" borderId="90" xfId="0" applyFill="1" applyBorder="1" applyAlignment="1" applyProtection="1">
      <alignment horizontal="center" vertical="center"/>
    </xf>
    <xf numFmtId="0" fontId="0" fillId="2" borderId="84" xfId="0" applyFill="1" applyBorder="1" applyAlignment="1" applyProtection="1">
      <alignment horizontal="center" vertical="center"/>
    </xf>
    <xf numFmtId="0" fontId="42" fillId="2" borderId="27" xfId="0" applyFont="1" applyFill="1" applyBorder="1" applyAlignment="1" applyProtection="1">
      <alignment horizontal="center" vertical="center"/>
    </xf>
    <xf numFmtId="0" fontId="42" fillId="2" borderId="21" xfId="0" applyFont="1" applyFill="1" applyBorder="1" applyAlignment="1" applyProtection="1">
      <alignment horizontal="center" vertical="center"/>
    </xf>
    <xf numFmtId="0" fontId="42" fillId="2" borderId="22" xfId="0" applyFont="1" applyFill="1" applyBorder="1" applyAlignment="1" applyProtection="1">
      <alignment horizontal="center" vertical="center"/>
    </xf>
    <xf numFmtId="0" fontId="42" fillId="2" borderId="24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/>
    </xf>
    <xf numFmtId="0" fontId="42" fillId="2" borderId="23" xfId="0" applyFont="1" applyFill="1" applyBorder="1" applyAlignment="1" applyProtection="1">
      <alignment horizontal="center" vertical="center"/>
    </xf>
    <xf numFmtId="0" fontId="42" fillId="2" borderId="18" xfId="0" applyFont="1" applyFill="1" applyBorder="1" applyAlignment="1" applyProtection="1">
      <alignment horizontal="center" vertical="center"/>
    </xf>
    <xf numFmtId="0" fontId="42" fillId="2" borderId="25" xfId="0" applyFont="1" applyFill="1" applyBorder="1" applyAlignment="1" applyProtection="1">
      <alignment horizontal="center" vertical="center"/>
    </xf>
    <xf numFmtId="0" fontId="42" fillId="2" borderId="26" xfId="0" applyFont="1" applyFill="1" applyBorder="1" applyAlignment="1" applyProtection="1">
      <alignment horizontal="center" vertical="center"/>
    </xf>
    <xf numFmtId="0" fontId="42" fillId="2" borderId="27" xfId="0" applyFont="1" applyFill="1" applyBorder="1" applyAlignment="1" applyProtection="1">
      <alignment horizontal="center" vertical="center" wrapText="1"/>
    </xf>
    <xf numFmtId="0" fontId="42" fillId="2" borderId="21" xfId="0" applyFont="1" applyFill="1" applyBorder="1" applyAlignment="1" applyProtection="1">
      <alignment horizontal="center" vertical="center" wrapText="1"/>
    </xf>
    <xf numFmtId="0" fontId="42" fillId="2" borderId="22" xfId="0" applyFont="1" applyFill="1" applyBorder="1" applyAlignment="1" applyProtection="1">
      <alignment horizontal="center" vertical="center" wrapText="1"/>
    </xf>
    <xf numFmtId="0" fontId="42" fillId="2" borderId="24" xfId="0" applyFont="1" applyFill="1" applyBorder="1" applyAlignment="1" applyProtection="1">
      <alignment horizontal="center" vertical="center" wrapText="1"/>
    </xf>
    <xf numFmtId="0" fontId="42" fillId="2" borderId="0" xfId="0" applyFont="1" applyFill="1" applyBorder="1" applyAlignment="1" applyProtection="1">
      <alignment horizontal="center" vertical="center" wrapText="1"/>
    </xf>
    <xf numFmtId="0" fontId="42" fillId="2" borderId="23" xfId="0" applyFont="1" applyFill="1" applyBorder="1" applyAlignment="1" applyProtection="1">
      <alignment horizontal="center" vertical="center" wrapText="1"/>
    </xf>
    <xf numFmtId="0" fontId="42" fillId="2" borderId="18" xfId="0" applyFont="1" applyFill="1" applyBorder="1" applyAlignment="1" applyProtection="1">
      <alignment horizontal="center" vertical="center" wrapText="1"/>
    </xf>
    <xf numFmtId="0" fontId="42" fillId="2" borderId="25" xfId="0" applyFont="1" applyFill="1" applyBorder="1" applyAlignment="1" applyProtection="1">
      <alignment horizontal="center" vertical="center" wrapText="1"/>
    </xf>
    <xf numFmtId="0" fontId="42" fillId="2" borderId="26" xfId="0" applyFont="1" applyFill="1" applyBorder="1" applyAlignment="1" applyProtection="1">
      <alignment horizontal="center" vertical="center" wrapText="1"/>
    </xf>
    <xf numFmtId="0" fontId="36" fillId="15" borderId="1" xfId="0" applyFont="1" applyFill="1" applyBorder="1" applyAlignment="1" applyProtection="1">
      <alignment horizontal="center" vertical="center" wrapText="1"/>
    </xf>
    <xf numFmtId="178" fontId="37" fillId="15" borderId="1" xfId="0" applyNumberFormat="1" applyFont="1" applyFill="1" applyBorder="1" applyAlignment="1" applyProtection="1">
      <alignment horizontal="center" vertical="center"/>
    </xf>
    <xf numFmtId="43" fontId="37" fillId="2" borderId="24" xfId="0" applyNumberFormat="1" applyFont="1" applyFill="1" applyBorder="1" applyAlignment="1" applyProtection="1">
      <alignment horizontal="center" vertical="center"/>
    </xf>
    <xf numFmtId="43" fontId="37" fillId="2" borderId="0" xfId="0" applyNumberFormat="1" applyFont="1" applyFill="1" applyBorder="1" applyAlignment="1" applyProtection="1">
      <alignment horizontal="center" vertical="center"/>
    </xf>
    <xf numFmtId="43" fontId="37" fillId="2" borderId="23" xfId="0" applyNumberFormat="1" applyFont="1" applyFill="1" applyBorder="1" applyAlignment="1" applyProtection="1">
      <alignment horizontal="center" vertical="center"/>
    </xf>
    <xf numFmtId="43" fontId="37" fillId="2" borderId="18" xfId="0" applyNumberFormat="1" applyFont="1" applyFill="1" applyBorder="1" applyAlignment="1" applyProtection="1">
      <alignment horizontal="center" vertical="center"/>
    </xf>
    <xf numFmtId="43" fontId="37" fillId="2" borderId="25" xfId="0" applyNumberFormat="1" applyFont="1" applyFill="1" applyBorder="1" applyAlignment="1" applyProtection="1">
      <alignment horizontal="center" vertical="center"/>
    </xf>
    <xf numFmtId="43" fontId="37" fillId="2" borderId="26" xfId="0" applyNumberFormat="1" applyFont="1" applyFill="1" applyBorder="1" applyAlignment="1" applyProtection="1">
      <alignment horizontal="center" vertical="center"/>
    </xf>
    <xf numFmtId="0" fontId="37" fillId="15" borderId="74" xfId="0" applyFont="1" applyFill="1" applyBorder="1" applyAlignment="1" applyProtection="1">
      <alignment horizontal="center" vertical="center" wrapText="1"/>
    </xf>
    <xf numFmtId="0" fontId="37" fillId="15" borderId="84" xfId="0" applyFont="1" applyFill="1" applyBorder="1" applyAlignment="1" applyProtection="1">
      <alignment horizontal="center" vertical="center" wrapText="1"/>
    </xf>
    <xf numFmtId="0" fontId="37" fillId="15" borderId="75" xfId="0" applyFont="1" applyFill="1" applyBorder="1" applyAlignment="1" applyProtection="1">
      <alignment horizontal="center" vertical="center" wrapText="1"/>
    </xf>
    <xf numFmtId="7" fontId="37" fillId="2" borderId="3" xfId="0" applyNumberFormat="1" applyFont="1" applyFill="1" applyBorder="1" applyAlignment="1" applyProtection="1">
      <alignment horizontal="center" vertical="center"/>
    </xf>
    <xf numFmtId="0" fontId="36" fillId="15" borderId="93" xfId="0" applyFont="1" applyFill="1" applyBorder="1" applyAlignment="1" applyProtection="1">
      <alignment horizontal="center" vertical="center" wrapText="1"/>
    </xf>
    <xf numFmtId="0" fontId="36" fillId="15" borderId="88" xfId="0" applyFont="1" applyFill="1" applyBorder="1" applyAlignment="1" applyProtection="1">
      <alignment horizontal="center" vertical="center" wrapText="1"/>
    </xf>
    <xf numFmtId="0" fontId="36" fillId="15" borderId="89" xfId="0" applyFont="1" applyFill="1" applyBorder="1" applyAlignment="1" applyProtection="1">
      <alignment horizontal="center" vertical="center" wrapText="1"/>
    </xf>
    <xf numFmtId="0" fontId="36" fillId="15" borderId="85" xfId="0" applyFont="1" applyFill="1" applyBorder="1" applyAlignment="1" applyProtection="1">
      <alignment horizontal="center" vertical="center" wrapText="1"/>
    </xf>
    <xf numFmtId="0" fontId="36" fillId="15" borderId="0" xfId="0" applyFont="1" applyFill="1" applyBorder="1" applyAlignment="1" applyProtection="1">
      <alignment horizontal="center" vertical="center" wrapText="1"/>
    </xf>
    <xf numFmtId="0" fontId="36" fillId="15" borderId="48" xfId="0" applyFont="1" applyFill="1" applyBorder="1" applyAlignment="1" applyProtection="1">
      <alignment horizontal="center" vertical="center" wrapText="1"/>
    </xf>
    <xf numFmtId="0" fontId="36" fillId="15" borderId="69" xfId="0" applyFont="1" applyFill="1" applyBorder="1" applyAlignment="1" applyProtection="1">
      <alignment horizontal="center" vertical="center" wrapText="1"/>
    </xf>
    <xf numFmtId="0" fontId="36" fillId="15" borderId="90" xfId="0" applyFont="1" applyFill="1" applyBorder="1" applyAlignment="1" applyProtection="1">
      <alignment horizontal="center" vertical="center" wrapText="1"/>
    </xf>
    <xf numFmtId="0" fontId="36" fillId="15" borderId="71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36" fillId="15" borderId="84" xfId="0" applyFont="1" applyFill="1" applyBorder="1" applyAlignment="1" applyProtection="1">
      <alignment horizontal="center" vertical="center" wrapText="1"/>
    </xf>
    <xf numFmtId="7" fontId="37" fillId="15" borderId="93" xfId="0" applyNumberFormat="1" applyFont="1" applyFill="1" applyBorder="1" applyAlignment="1" applyProtection="1">
      <alignment horizontal="center" vertical="center"/>
    </xf>
    <xf numFmtId="7" fontId="37" fillId="15" borderId="88" xfId="0" applyNumberFormat="1" applyFont="1" applyFill="1" applyBorder="1" applyAlignment="1" applyProtection="1">
      <alignment horizontal="center" vertical="center"/>
    </xf>
    <xf numFmtId="7" fontId="37" fillId="15" borderId="89" xfId="0" applyNumberFormat="1" applyFont="1" applyFill="1" applyBorder="1" applyAlignment="1" applyProtection="1">
      <alignment horizontal="center" vertical="center"/>
    </xf>
    <xf numFmtId="7" fontId="37" fillId="15" borderId="69" xfId="0" applyNumberFormat="1" applyFont="1" applyFill="1" applyBorder="1" applyAlignment="1" applyProtection="1">
      <alignment horizontal="center" vertical="center"/>
    </xf>
    <xf numFmtId="7" fontId="37" fillId="15" borderId="90" xfId="0" applyNumberFormat="1" applyFont="1" applyFill="1" applyBorder="1" applyAlignment="1" applyProtection="1">
      <alignment horizontal="center" vertical="center"/>
    </xf>
    <xf numFmtId="7" fontId="37" fillId="15" borderId="71" xfId="0" applyNumberFormat="1" applyFont="1" applyFill="1" applyBorder="1" applyAlignment="1" applyProtection="1">
      <alignment horizontal="center" vertical="center"/>
    </xf>
    <xf numFmtId="176" fontId="30" fillId="15" borderId="74" xfId="2" applyNumberFormat="1" applyFont="1" applyFill="1" applyBorder="1" applyAlignment="1" applyProtection="1">
      <alignment horizontal="center" vertical="center"/>
    </xf>
    <xf numFmtId="176" fontId="30" fillId="15" borderId="84" xfId="2" applyNumberFormat="1" applyFont="1" applyFill="1" applyBorder="1" applyAlignment="1" applyProtection="1">
      <alignment horizontal="center" vertical="center"/>
    </xf>
    <xf numFmtId="176" fontId="30" fillId="15" borderId="75" xfId="2" applyNumberFormat="1" applyFont="1" applyFill="1" applyBorder="1" applyAlignment="1" applyProtection="1">
      <alignment horizontal="center" vertical="center"/>
    </xf>
    <xf numFmtId="7" fontId="37" fillId="15" borderId="84" xfId="0" applyNumberFormat="1" applyFont="1" applyFill="1" applyBorder="1" applyAlignment="1" applyProtection="1">
      <alignment horizontal="center" vertical="center"/>
    </xf>
    <xf numFmtId="176" fontId="30" fillId="27" borderId="1" xfId="0" applyNumberFormat="1" applyFont="1" applyFill="1" applyBorder="1" applyAlignment="1" applyProtection="1">
      <alignment horizontal="center" vertical="center"/>
    </xf>
    <xf numFmtId="0" fontId="31" fillId="2" borderId="25" xfId="0" applyFont="1" applyFill="1" applyBorder="1" applyAlignment="1" applyProtection="1">
      <alignment horizontal="center" vertical="center"/>
    </xf>
    <xf numFmtId="17" fontId="95" fillId="37" borderId="105" xfId="0" applyNumberFormat="1" applyFont="1" applyFill="1" applyBorder="1" applyAlignment="1" applyProtection="1">
      <alignment horizontal="center" vertical="center"/>
    </xf>
    <xf numFmtId="17" fontId="95" fillId="37" borderId="107" xfId="0" applyNumberFormat="1" applyFont="1" applyFill="1" applyBorder="1" applyAlignment="1" applyProtection="1">
      <alignment horizontal="center" vertical="center"/>
    </xf>
    <xf numFmtId="164" fontId="11" fillId="27" borderId="1" xfId="2" applyFont="1" applyFill="1" applyBorder="1" applyAlignment="1" applyProtection="1">
      <alignment horizontal="center" vertical="center"/>
    </xf>
    <xf numFmtId="0" fontId="11" fillId="15" borderId="93" xfId="0" applyNumberFormat="1" applyFont="1" applyFill="1" applyBorder="1" applyAlignment="1" applyProtection="1">
      <alignment horizontal="center" vertical="center"/>
    </xf>
    <xf numFmtId="0" fontId="11" fillId="15" borderId="89" xfId="0" applyNumberFormat="1" applyFont="1" applyFill="1" applyBorder="1" applyAlignment="1" applyProtection="1">
      <alignment horizontal="center" vertical="center"/>
    </xf>
    <xf numFmtId="0" fontId="11" fillId="15" borderId="69" xfId="0" applyNumberFormat="1" applyFont="1" applyFill="1" applyBorder="1" applyAlignment="1" applyProtection="1">
      <alignment horizontal="center" vertical="center"/>
    </xf>
    <xf numFmtId="0" fontId="11" fillId="15" borderId="71" xfId="0" applyNumberFormat="1" applyFont="1" applyFill="1" applyBorder="1" applyAlignment="1" applyProtection="1">
      <alignment horizontal="center" vertical="center"/>
    </xf>
    <xf numFmtId="164" fontId="11" fillId="27" borderId="86" xfId="2" applyFont="1" applyFill="1" applyBorder="1" applyAlignment="1" applyProtection="1">
      <alignment horizontal="center" vertical="center"/>
    </xf>
    <xf numFmtId="0" fontId="13" fillId="2" borderId="98" xfId="0" applyFont="1" applyFill="1" applyBorder="1" applyAlignment="1" applyProtection="1">
      <alignment horizontal="center" vertical="center" wrapText="1"/>
    </xf>
    <xf numFmtId="0" fontId="13" fillId="2" borderId="100" xfId="0" applyFont="1" applyFill="1" applyBorder="1" applyAlignment="1" applyProtection="1">
      <alignment horizontal="center" vertical="center" wrapText="1"/>
    </xf>
    <xf numFmtId="164" fontId="72" fillId="15" borderId="91" xfId="2" applyFont="1" applyFill="1" applyBorder="1" applyAlignment="1" applyProtection="1">
      <alignment horizontal="center" vertical="center"/>
    </xf>
    <xf numFmtId="164" fontId="72" fillId="15" borderId="84" xfId="2" applyFont="1" applyFill="1" applyBorder="1" applyAlignment="1" applyProtection="1">
      <alignment horizontal="center" vertical="center"/>
    </xf>
    <xf numFmtId="164" fontId="72" fillId="15" borderId="92" xfId="2" applyFont="1" applyFill="1" applyBorder="1" applyAlignment="1" applyProtection="1">
      <alignment horizontal="center" vertical="center"/>
    </xf>
    <xf numFmtId="0" fontId="98" fillId="34" borderId="0" xfId="0" applyFont="1" applyFill="1" applyBorder="1" applyAlignment="1" applyProtection="1">
      <alignment horizontal="center" vertical="center" wrapText="1"/>
    </xf>
    <xf numFmtId="165" fontId="11" fillId="2" borderId="24" xfId="1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33" xfId="0" applyFont="1" applyFill="1" applyBorder="1" applyAlignment="1" applyProtection="1">
      <alignment horizontal="center" vertical="center"/>
    </xf>
    <xf numFmtId="174" fontId="26" fillId="35" borderId="74" xfId="2" applyNumberFormat="1" applyFont="1" applyFill="1" applyBorder="1" applyAlignment="1" applyProtection="1">
      <alignment horizontal="center" vertical="center"/>
    </xf>
    <xf numFmtId="174" fontId="26" fillId="35" borderId="84" xfId="2" applyNumberFormat="1" applyFont="1" applyFill="1" applyBorder="1" applyAlignment="1" applyProtection="1">
      <alignment horizontal="center" vertical="center"/>
    </xf>
    <xf numFmtId="174" fontId="26" fillId="35" borderId="75" xfId="2" applyNumberFormat="1" applyFont="1" applyFill="1" applyBorder="1" applyAlignment="1" applyProtection="1">
      <alignment horizontal="center" vertical="center"/>
    </xf>
    <xf numFmtId="0" fontId="47" fillId="2" borderId="0" xfId="0" applyFon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177" fontId="26" fillId="35" borderId="74" xfId="2" applyNumberFormat="1" applyFont="1" applyFill="1" applyBorder="1" applyAlignment="1" applyProtection="1">
      <alignment horizontal="center" vertical="center"/>
    </xf>
    <xf numFmtId="177" fontId="26" fillId="35" borderId="84" xfId="2" applyNumberFormat="1" applyFont="1" applyFill="1" applyBorder="1" applyAlignment="1" applyProtection="1">
      <alignment horizontal="center" vertical="center"/>
    </xf>
    <xf numFmtId="177" fontId="26" fillId="35" borderId="75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right" vertical="center"/>
    </xf>
    <xf numFmtId="0" fontId="86" fillId="23" borderId="0" xfId="0" applyFont="1" applyFill="1" applyBorder="1" applyAlignment="1" applyProtection="1">
      <alignment horizontal="center" vertical="center"/>
    </xf>
    <xf numFmtId="0" fontId="51" fillId="9" borderId="6" xfId="0" applyFont="1" applyFill="1" applyBorder="1" applyAlignment="1" applyProtection="1">
      <alignment horizontal="center" vertical="center"/>
    </xf>
    <xf numFmtId="0" fontId="51" fillId="9" borderId="104" xfId="0" applyFont="1" applyFill="1" applyBorder="1" applyAlignment="1" applyProtection="1">
      <alignment horizontal="center" vertical="center"/>
    </xf>
    <xf numFmtId="0" fontId="87" fillId="28" borderId="4" xfId="0" applyFont="1" applyFill="1" applyBorder="1" applyAlignment="1" applyProtection="1">
      <alignment horizontal="center" vertical="center"/>
    </xf>
    <xf numFmtId="0" fontId="87" fillId="28" borderId="6" xfId="0" applyFont="1" applyFill="1" applyBorder="1" applyAlignment="1" applyProtection="1">
      <alignment horizontal="center" vertical="center"/>
    </xf>
    <xf numFmtId="0" fontId="87" fillId="28" borderId="33" xfId="0" applyFont="1" applyFill="1" applyBorder="1" applyAlignment="1" applyProtection="1">
      <alignment horizontal="center" vertical="center"/>
    </xf>
    <xf numFmtId="164" fontId="26" fillId="35" borderId="101" xfId="2" applyFont="1" applyFill="1" applyBorder="1" applyAlignment="1" applyProtection="1">
      <alignment horizontal="center" vertical="center"/>
    </xf>
    <xf numFmtId="164" fontId="26" fillId="35" borderId="102" xfId="2" applyFont="1" applyFill="1" applyBorder="1" applyAlignment="1" applyProtection="1">
      <alignment horizontal="center" vertical="center"/>
    </xf>
    <xf numFmtId="164" fontId="26" fillId="35" borderId="103" xfId="2" applyFont="1" applyFill="1" applyBorder="1" applyAlignment="1" applyProtection="1">
      <alignment horizontal="center" vertical="center"/>
    </xf>
    <xf numFmtId="164" fontId="26" fillId="18" borderId="101" xfId="2" applyFont="1" applyFill="1" applyBorder="1" applyAlignment="1" applyProtection="1">
      <alignment horizontal="center" vertical="center"/>
      <protection locked="0"/>
    </xf>
    <xf numFmtId="164" fontId="26" fillId="18" borderId="102" xfId="2" applyFont="1" applyFill="1" applyBorder="1" applyAlignment="1" applyProtection="1">
      <alignment horizontal="center" vertical="center"/>
      <protection locked="0"/>
    </xf>
    <xf numFmtId="164" fontId="26" fillId="18" borderId="103" xfId="2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33" xfId="0" applyFont="1" applyFill="1" applyBorder="1" applyAlignment="1" applyProtection="1">
      <alignment horizontal="left" vertical="center"/>
    </xf>
    <xf numFmtId="0" fontId="27" fillId="12" borderId="101" xfId="0" applyFont="1" applyFill="1" applyBorder="1" applyAlignment="1" applyProtection="1">
      <alignment horizontal="center" vertical="center"/>
      <protection locked="0"/>
    </xf>
    <xf numFmtId="0" fontId="27" fillId="12" borderId="102" xfId="0" applyFont="1" applyFill="1" applyBorder="1" applyAlignment="1" applyProtection="1">
      <alignment horizontal="center" vertical="center"/>
      <protection locked="0"/>
    </xf>
    <xf numFmtId="0" fontId="27" fillId="12" borderId="103" xfId="0" applyFont="1" applyFill="1" applyBorder="1" applyAlignment="1" applyProtection="1">
      <alignment horizontal="center" vertical="center"/>
      <protection locked="0"/>
    </xf>
    <xf numFmtId="0" fontId="47" fillId="2" borderId="0" xfId="0" applyFont="1" applyFill="1" applyAlignment="1" applyProtection="1">
      <alignment horizontal="left" vertical="center"/>
    </xf>
    <xf numFmtId="164" fontId="29" fillId="12" borderId="101" xfId="2" applyFont="1" applyFill="1" applyBorder="1" applyAlignment="1" applyProtection="1">
      <alignment horizontal="center" vertical="center"/>
      <protection locked="0"/>
    </xf>
    <xf numFmtId="164" fontId="29" fillId="12" borderId="102" xfId="2" applyFont="1" applyFill="1" applyBorder="1" applyAlignment="1" applyProtection="1">
      <alignment horizontal="center" vertical="center"/>
      <protection locked="0"/>
    </xf>
    <xf numFmtId="164" fontId="29" fillId="12" borderId="103" xfId="2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 wrapText="1"/>
    </xf>
    <xf numFmtId="0" fontId="88" fillId="23" borderId="0" xfId="0" applyFont="1" applyFill="1" applyAlignment="1" applyProtection="1">
      <alignment horizontal="center" vertical="center" wrapText="1"/>
    </xf>
    <xf numFmtId="0" fontId="74" fillId="23" borderId="0" xfId="0" applyFont="1" applyFill="1" applyAlignment="1" applyProtection="1">
      <alignment vertical="center" wrapText="1"/>
    </xf>
    <xf numFmtId="0" fontId="47" fillId="2" borderId="0" xfId="0" applyFont="1" applyFill="1" applyAlignment="1" applyProtection="1">
      <alignment horizontal="center" vertical="center"/>
    </xf>
    <xf numFmtId="0" fontId="47" fillId="2" borderId="0" xfId="0" applyFont="1" applyFill="1" applyBorder="1" applyAlignment="1" applyProtection="1">
      <alignment horizontal="center" vertical="center"/>
    </xf>
    <xf numFmtId="0" fontId="80" fillId="23" borderId="110" xfId="0" applyFont="1" applyFill="1" applyBorder="1" applyAlignment="1" applyProtection="1">
      <alignment horizontal="center" vertical="center"/>
    </xf>
    <xf numFmtId="0" fontId="80" fillId="23" borderId="111" xfId="0" applyFont="1" applyFill="1" applyBorder="1" applyAlignment="1" applyProtection="1">
      <alignment horizontal="center" vertical="center"/>
    </xf>
    <xf numFmtId="0" fontId="80" fillId="23" borderId="72" xfId="0" applyFont="1" applyFill="1" applyBorder="1" applyAlignment="1" applyProtection="1">
      <alignment horizontal="center" vertical="center"/>
    </xf>
    <xf numFmtId="0" fontId="0" fillId="15" borderId="1" xfId="0" applyFill="1" applyBorder="1" applyAlignment="1" applyProtection="1">
      <alignment horizontal="center" vertical="center"/>
    </xf>
    <xf numFmtId="164" fontId="11" fillId="12" borderId="6" xfId="2" applyFont="1" applyFill="1" applyBorder="1" applyAlignment="1" applyProtection="1">
      <alignment horizontal="center" vertical="center"/>
    </xf>
    <xf numFmtId="0" fontId="0" fillId="15" borderId="74" xfId="0" applyFill="1" applyBorder="1" applyAlignment="1" applyProtection="1">
      <alignment horizontal="center" vertical="center"/>
    </xf>
    <xf numFmtId="0" fontId="0" fillId="15" borderId="75" xfId="0" applyFill="1" applyBorder="1" applyAlignment="1" applyProtection="1">
      <alignment horizontal="center" vertical="center"/>
    </xf>
    <xf numFmtId="17" fontId="11" fillId="15" borderId="74" xfId="0" applyNumberFormat="1" applyFont="1" applyFill="1" applyBorder="1" applyAlignment="1" applyProtection="1">
      <alignment horizontal="center" vertical="center"/>
    </xf>
    <xf numFmtId="17" fontId="11" fillId="15" borderId="84" xfId="0" applyNumberFormat="1" applyFont="1" applyFill="1" applyBorder="1" applyAlignment="1" applyProtection="1">
      <alignment horizontal="center" vertical="center"/>
    </xf>
    <xf numFmtId="17" fontId="11" fillId="15" borderId="75" xfId="0" applyNumberFormat="1" applyFont="1" applyFill="1" applyBorder="1" applyAlignment="1" applyProtection="1">
      <alignment horizontal="center" vertical="center"/>
    </xf>
    <xf numFmtId="0" fontId="56" fillId="6" borderId="0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vertical="center" wrapText="1"/>
    </xf>
    <xf numFmtId="164" fontId="11" fillId="27" borderId="1" xfId="2" applyNumberFormat="1" applyFont="1" applyFill="1" applyBorder="1" applyAlignment="1" applyProtection="1">
      <alignment horizontal="center" vertical="center"/>
    </xf>
    <xf numFmtId="164" fontId="72" fillId="15" borderId="1" xfId="2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77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4" fillId="2" borderId="105" xfId="0" applyFont="1" applyFill="1" applyBorder="1" applyAlignment="1" applyProtection="1">
      <alignment horizontal="center" vertical="center"/>
    </xf>
    <xf numFmtId="0" fontId="4" fillId="2" borderId="106" xfId="0" applyFont="1" applyFill="1" applyBorder="1" applyAlignment="1" applyProtection="1">
      <alignment horizontal="center" vertical="center"/>
    </xf>
    <xf numFmtId="0" fontId="4" fillId="2" borderId="10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08" xfId="0" applyFont="1" applyFill="1" applyBorder="1" applyAlignment="1" applyProtection="1">
      <alignment horizontal="center" vertical="center"/>
    </xf>
    <xf numFmtId="0" fontId="4" fillId="2" borderId="109" xfId="0" applyFont="1" applyFill="1" applyBorder="1" applyAlignment="1" applyProtection="1">
      <alignment horizontal="center" vertical="center"/>
    </xf>
    <xf numFmtId="0" fontId="4" fillId="2" borderId="73" xfId="0" applyFont="1" applyFill="1" applyBorder="1" applyAlignment="1" applyProtection="1">
      <alignment horizontal="center" vertical="center"/>
    </xf>
    <xf numFmtId="164" fontId="20" fillId="12" borderId="101" xfId="2" applyFont="1" applyFill="1" applyBorder="1" applyAlignment="1" applyProtection="1">
      <alignment horizontal="center" vertical="center"/>
      <protection locked="0"/>
    </xf>
    <xf numFmtId="164" fontId="20" fillId="12" borderId="102" xfId="2" applyFont="1" applyFill="1" applyBorder="1" applyAlignment="1" applyProtection="1">
      <alignment horizontal="center" vertical="center"/>
      <protection locked="0"/>
    </xf>
    <xf numFmtId="164" fontId="20" fillId="12" borderId="103" xfId="2" applyFont="1" applyFill="1" applyBorder="1" applyAlignment="1" applyProtection="1">
      <alignment horizontal="center" vertical="center"/>
      <protection locked="0"/>
    </xf>
    <xf numFmtId="164" fontId="20" fillId="35" borderId="74" xfId="2" applyFont="1" applyFill="1" applyBorder="1" applyAlignment="1" applyProtection="1">
      <alignment horizontal="center" vertical="center"/>
    </xf>
    <xf numFmtId="164" fontId="20" fillId="35" borderId="84" xfId="2" applyFont="1" applyFill="1" applyBorder="1" applyAlignment="1" applyProtection="1">
      <alignment horizontal="center" vertical="center"/>
    </xf>
    <xf numFmtId="164" fontId="20" fillId="35" borderId="75" xfId="2" applyFont="1" applyFill="1" applyBorder="1" applyAlignment="1" applyProtection="1">
      <alignment horizontal="center" vertical="center"/>
    </xf>
    <xf numFmtId="0" fontId="88" fillId="0" borderId="0" xfId="0" applyFont="1" applyFill="1" applyBorder="1" applyAlignment="1" applyProtection="1">
      <alignment horizontal="right" vertical="center"/>
    </xf>
    <xf numFmtId="4" fontId="81" fillId="27" borderId="128" xfId="0" applyNumberFormat="1" applyFont="1" applyFill="1" applyBorder="1" applyAlignment="1" applyProtection="1">
      <alignment horizontal="left" vertical="center"/>
    </xf>
    <xf numFmtId="0" fontId="69" fillId="27" borderId="129" xfId="0" applyFont="1" applyFill="1" applyBorder="1" applyAlignment="1" applyProtection="1">
      <alignment vertical="center"/>
    </xf>
    <xf numFmtId="164" fontId="72" fillId="15" borderId="75" xfId="2" applyFont="1" applyFill="1" applyBorder="1" applyAlignment="1" applyProtection="1">
      <alignment horizontal="center" vertical="center"/>
    </xf>
    <xf numFmtId="17" fontId="11" fillId="12" borderId="4" xfId="2" applyNumberFormat="1" applyFont="1" applyFill="1" applyBorder="1" applyAlignment="1" applyProtection="1">
      <alignment horizontal="center" vertical="center"/>
      <protection locked="0"/>
    </xf>
    <xf numFmtId="17" fontId="11" fillId="12" borderId="6" xfId="2" applyNumberFormat="1" applyFont="1" applyFill="1" applyBorder="1" applyAlignment="1" applyProtection="1">
      <alignment horizontal="center" vertical="center"/>
      <protection locked="0"/>
    </xf>
    <xf numFmtId="17" fontId="11" fillId="12" borderId="33" xfId="2" applyNumberFormat="1" applyFont="1" applyFill="1" applyBorder="1" applyAlignment="1" applyProtection="1">
      <alignment horizontal="center" vertical="center"/>
      <protection locked="0"/>
    </xf>
    <xf numFmtId="0" fontId="11" fillId="12" borderId="6" xfId="2" applyNumberFormat="1" applyFont="1" applyFill="1" applyBorder="1" applyAlignment="1" applyProtection="1">
      <alignment horizontal="center" vertical="center"/>
      <protection locked="0"/>
    </xf>
    <xf numFmtId="165" fontId="11" fillId="15" borderId="1" xfId="1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175" fontId="27" fillId="2" borderId="0" xfId="2" applyNumberFormat="1" applyFont="1" applyFill="1" applyAlignment="1" applyProtection="1">
      <alignment horizontal="center" vertical="center"/>
    </xf>
    <xf numFmtId="175" fontId="27" fillId="2" borderId="21" xfId="2" applyNumberFormat="1" applyFont="1" applyFill="1" applyBorder="1" applyAlignment="1" applyProtection="1">
      <alignment horizontal="center" vertical="center"/>
    </xf>
    <xf numFmtId="0" fontId="15" fillId="8" borderId="3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112" xfId="0" applyBorder="1" applyAlignment="1" applyProtection="1">
      <alignment horizontal="center" vertical="center" wrapText="1"/>
    </xf>
    <xf numFmtId="166" fontId="5" fillId="5" borderId="113" xfId="10" applyNumberFormat="1" applyFont="1" applyFill="1" applyBorder="1" applyAlignment="1" applyProtection="1">
      <alignment horizontal="center" vertical="center" wrapText="1"/>
    </xf>
    <xf numFmtId="166" fontId="5" fillId="5" borderId="114" xfId="10" applyNumberFormat="1" applyFont="1" applyFill="1" applyBorder="1" applyAlignment="1" applyProtection="1">
      <alignment horizontal="center" vertical="center" wrapText="1"/>
    </xf>
    <xf numFmtId="166" fontId="0" fillId="5" borderId="20" xfId="10" applyNumberFormat="1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166" fontId="0" fillId="0" borderId="3" xfId="10" applyNumberFormat="1" applyFont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165" fontId="2" fillId="7" borderId="4" xfId="10" applyFont="1" applyFill="1" applyBorder="1" applyAlignment="1" applyProtection="1">
      <alignment horizontal="center" vertical="center"/>
    </xf>
    <xf numFmtId="165" fontId="2" fillId="7" borderId="33" xfId="1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 wrapText="1"/>
    </xf>
    <xf numFmtId="0" fontId="0" fillId="0" borderId="115" xfId="0" applyBorder="1" applyAlignment="1" applyProtection="1">
      <alignment horizontal="center" vertical="center" wrapText="1"/>
    </xf>
    <xf numFmtId="0" fontId="0" fillId="0" borderId="116" xfId="0" applyBorder="1" applyAlignment="1" applyProtection="1">
      <alignment horizontal="center" vertical="center" wrapText="1"/>
    </xf>
    <xf numFmtId="10" fontId="4" fillId="0" borderId="15" xfId="0" applyNumberFormat="1" applyFont="1" applyBorder="1" applyAlignment="1" applyProtection="1">
      <alignment horizontal="center" vertical="center" wrapText="1"/>
    </xf>
    <xf numFmtId="10" fontId="4" fillId="0" borderId="77" xfId="0" applyNumberFormat="1" applyFont="1" applyBorder="1" applyAlignment="1" applyProtection="1">
      <alignment horizontal="center" vertical="center" wrapText="1"/>
    </xf>
    <xf numFmtId="10" fontId="4" fillId="0" borderId="7" xfId="0" applyNumberFormat="1" applyFont="1" applyBorder="1" applyAlignment="1" applyProtection="1">
      <alignment horizontal="center" vertical="center" wrapText="1"/>
    </xf>
    <xf numFmtId="0" fontId="5" fillId="0" borderId="65" xfId="0" applyFont="1" applyBorder="1" applyAlignment="1" applyProtection="1">
      <alignment horizontal="center"/>
      <protection hidden="1"/>
    </xf>
    <xf numFmtId="0" fontId="5" fillId="0" borderId="66" xfId="0" applyFont="1" applyBorder="1" applyAlignment="1" applyProtection="1">
      <alignment horizontal="center"/>
      <protection hidden="1"/>
    </xf>
    <xf numFmtId="171" fontId="5" fillId="0" borderId="66" xfId="0" applyNumberFormat="1" applyFont="1" applyBorder="1" applyAlignment="1" applyProtection="1">
      <alignment horizontal="center"/>
      <protection hidden="1"/>
    </xf>
    <xf numFmtId="0" fontId="5" fillId="0" borderId="64" xfId="0" applyFont="1" applyBorder="1" applyAlignment="1" applyProtection="1">
      <alignment horizontal="center"/>
      <protection hidden="1"/>
    </xf>
    <xf numFmtId="0" fontId="4" fillId="0" borderId="57" xfId="0" applyFont="1" applyBorder="1" applyAlignment="1" applyProtection="1">
      <alignment horizontal="center" vertical="center"/>
      <protection hidden="1"/>
    </xf>
    <xf numFmtId="0" fontId="4" fillId="0" borderId="58" xfId="0" applyFont="1" applyBorder="1" applyAlignment="1" applyProtection="1">
      <alignment horizontal="center" vertical="center"/>
      <protection hidden="1"/>
    </xf>
    <xf numFmtId="14" fontId="0" fillId="0" borderId="49" xfId="0" applyNumberFormat="1" applyFill="1" applyBorder="1" applyAlignment="1" applyProtection="1">
      <alignment horizontal="center" vertical="center"/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0" fillId="0" borderId="0" xfId="0" applyProtection="1">
      <protection hidden="1"/>
    </xf>
    <xf numFmtId="0" fontId="0" fillId="0" borderId="53" xfId="0" applyBorder="1" applyProtection="1">
      <protection hidden="1"/>
    </xf>
    <xf numFmtId="0" fontId="0" fillId="0" borderId="5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56" xfId="0" applyBorder="1" applyProtection="1">
      <protection hidden="1"/>
    </xf>
    <xf numFmtId="0" fontId="5" fillId="0" borderId="65" xfId="0" applyFont="1" applyBorder="1" applyAlignment="1" applyProtection="1">
      <alignment horizontal="left"/>
      <protection hidden="1"/>
    </xf>
    <xf numFmtId="0" fontId="5" fillId="0" borderId="66" xfId="0" applyFont="1" applyBorder="1" applyAlignment="1" applyProtection="1">
      <alignment horizontal="left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0" borderId="65" xfId="0" applyBorder="1" applyAlignment="1" applyProtection="1">
      <alignment horizontal="left"/>
      <protection hidden="1"/>
    </xf>
    <xf numFmtId="0" fontId="0" fillId="0" borderId="64" xfId="0" applyBorder="1" applyAlignment="1" applyProtection="1">
      <alignment horizontal="left"/>
      <protection hidden="1"/>
    </xf>
    <xf numFmtId="0" fontId="4" fillId="0" borderId="60" xfId="0" applyFont="1" applyBorder="1" applyAlignment="1" applyProtection="1">
      <alignment horizontal="center"/>
      <protection hidden="1"/>
    </xf>
    <xf numFmtId="0" fontId="4" fillId="0" borderId="117" xfId="0" applyFont="1" applyBorder="1" applyAlignment="1" applyProtection="1">
      <alignment horizontal="center"/>
      <protection hidden="1"/>
    </xf>
    <xf numFmtId="0" fontId="4" fillId="0" borderId="61" xfId="0" applyFont="1" applyBorder="1" applyAlignment="1" applyProtection="1">
      <alignment horizontal="center"/>
      <protection hidden="1"/>
    </xf>
    <xf numFmtId="0" fontId="4" fillId="0" borderId="118" xfId="0" applyFont="1" applyBorder="1" applyAlignment="1" applyProtection="1">
      <alignment horizontal="center"/>
      <protection hidden="1"/>
    </xf>
    <xf numFmtId="0" fontId="4" fillId="0" borderId="65" xfId="0" applyFont="1" applyBorder="1" applyAlignment="1" applyProtection="1">
      <alignment horizontal="center"/>
      <protection hidden="1"/>
    </xf>
    <xf numFmtId="0" fontId="4" fillId="0" borderId="66" xfId="0" applyFont="1" applyBorder="1" applyAlignment="1" applyProtection="1">
      <alignment horizontal="center"/>
      <protection hidden="1"/>
    </xf>
    <xf numFmtId="0" fontId="4" fillId="0" borderId="64" xfId="0" applyFont="1" applyBorder="1" applyAlignment="1" applyProtection="1">
      <alignment horizontal="center"/>
      <protection hidden="1"/>
    </xf>
    <xf numFmtId="0" fontId="11" fillId="0" borderId="65" xfId="0" applyFont="1" applyBorder="1" applyAlignment="1" applyProtection="1">
      <alignment horizontal="center"/>
      <protection hidden="1"/>
    </xf>
    <xf numFmtId="0" fontId="11" fillId="0" borderId="64" xfId="0" applyFont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4" fillId="0" borderId="24" xfId="0" applyFont="1" applyBorder="1" applyAlignment="1" applyProtection="1">
      <alignment horizontal="center" vertical="justify"/>
      <protection hidden="1"/>
    </xf>
    <xf numFmtId="0" fontId="14" fillId="0" borderId="18" xfId="0" applyFont="1" applyBorder="1" applyAlignment="1" applyProtection="1">
      <alignment horizontal="center" vertical="justify"/>
      <protection hidden="1"/>
    </xf>
    <xf numFmtId="0" fontId="14" fillId="0" borderId="52" xfId="0" applyFont="1" applyBorder="1" applyAlignment="1" applyProtection="1">
      <alignment horizontal="center" vertical="justify"/>
      <protection hidden="1"/>
    </xf>
    <xf numFmtId="0" fontId="14" fillId="0" borderId="119" xfId="0" applyFont="1" applyBorder="1" applyAlignment="1" applyProtection="1">
      <alignment horizontal="center" vertical="justify"/>
      <protection hidden="1"/>
    </xf>
    <xf numFmtId="22" fontId="12" fillId="0" borderId="0" xfId="0" applyNumberFormat="1" applyFont="1" applyAlignment="1" applyProtection="1">
      <alignment horizontal="center"/>
      <protection hidden="1"/>
    </xf>
    <xf numFmtId="22" fontId="11" fillId="0" borderId="50" xfId="0" applyNumberFormat="1" applyFont="1" applyBorder="1" applyAlignment="1" applyProtection="1">
      <alignment horizontal="center"/>
      <protection hidden="1"/>
    </xf>
    <xf numFmtId="22" fontId="11" fillId="0" borderId="51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/>
      <protection hidden="1"/>
    </xf>
    <xf numFmtId="0" fontId="11" fillId="0" borderId="66" xfId="0" applyFont="1" applyBorder="1" applyAlignment="1" applyProtection="1">
      <alignment horizontal="center"/>
      <protection hidden="1"/>
    </xf>
    <xf numFmtId="0" fontId="4" fillId="2" borderId="105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5" fontId="0" fillId="0" borderId="5" xfId="10" applyFont="1" applyBorder="1" applyAlignment="1">
      <alignment vertical="center"/>
    </xf>
    <xf numFmtId="165" fontId="0" fillId="0" borderId="6" xfId="10" applyFont="1" applyBorder="1" applyAlignment="1">
      <alignment vertical="center"/>
    </xf>
    <xf numFmtId="165" fontId="0" fillId="0" borderId="9" xfId="10" applyFont="1" applyBorder="1" applyAlignment="1">
      <alignment vertical="center"/>
    </xf>
    <xf numFmtId="165" fontId="0" fillId="13" borderId="5" xfId="10" applyFont="1" applyFill="1" applyBorder="1" applyAlignment="1">
      <alignment vertical="center"/>
    </xf>
    <xf numFmtId="0" fontId="0" fillId="0" borderId="6" xfId="0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</cellXfs>
  <cellStyles count="12">
    <cellStyle name="Euro" xfId="1"/>
    <cellStyle name="Moeda" xfId="2" builtinId="4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_Matriz pv" xfId="7"/>
    <cellStyle name="Separador de milhares_PV das tabelas (version 2)" xfId="8"/>
    <cellStyle name="Total" xfId="9" builtinId="25" customBuiltin="1"/>
    <cellStyle name="Vírgula" xfId="10" builtinId="3"/>
    <cellStyle name="Vírgula 2" xfId="11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22"/>
      </font>
      <fill>
        <patternFill>
          <bgColor indexed="16"/>
        </patternFill>
      </fill>
    </dxf>
    <dxf>
      <font>
        <b/>
        <i val="0"/>
        <color rgb="FFFF0000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theme="0"/>
      </font>
      <fill>
        <patternFill>
          <bgColor indexed="22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>
          <bgColor indexed="16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8" tint="-0.2499465926084170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F0E0D0"/>
      <rgbColor rgb="00BDDEFF"/>
      <rgbColor rgb="00DADAE6"/>
      <rgbColor rgb="00ECECEC"/>
      <rgbColor rgb="00BCBCD2"/>
      <rgbColor rgb="00FEFAA0"/>
      <rgbColor rgb="000066CC"/>
      <rgbColor rgb="00DDDD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4B4B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488394</xdr:colOff>
      <xdr:row>0</xdr:row>
      <xdr:rowOff>209551</xdr:rowOff>
    </xdr:from>
    <xdr:to>
      <xdr:col>5</xdr:col>
      <xdr:colOff>742950</xdr:colOff>
      <xdr:row>3</xdr:row>
      <xdr:rowOff>343363</xdr:rowOff>
    </xdr:to>
    <xdr:pic>
      <xdr:nvPicPr>
        <xdr:cNvPr id="3" name="Picture 1" descr="140923-ASSINATURA_EMAIL_cyrela-07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57" t="78425" r="36719" b="2321"/>
        <a:stretch/>
      </xdr:blipFill>
      <xdr:spPr bwMode="auto">
        <a:xfrm>
          <a:off x="3060144" y="209551"/>
          <a:ext cx="2197656" cy="1219662"/>
        </a:xfrm>
        <a:prstGeom prst="rect">
          <a:avLst/>
        </a:prstGeom>
        <a:solidFill>
          <a:schemeClr val="bg1">
            <a:alpha val="42000"/>
          </a:schemeClr>
        </a:solidFill>
        <a:ln>
          <a:noFill/>
        </a:ln>
        <a:effectLst>
          <a:glow rad="127000">
            <a:schemeClr val="accent1">
              <a:alpha val="0"/>
            </a:schemeClr>
          </a:glow>
          <a:softEdge rad="0"/>
        </a:effectLst>
        <a:extLst/>
      </xdr:spPr>
    </xdr:pic>
    <xdr:clientData/>
  </xdr:twoCellAnchor>
  <xdr:twoCellAnchor editAs="oneCell">
    <xdr:from>
      <xdr:col>1</xdr:col>
      <xdr:colOff>311727</xdr:colOff>
      <xdr:row>0</xdr:row>
      <xdr:rowOff>0</xdr:rowOff>
    </xdr:from>
    <xdr:to>
      <xdr:col>3</xdr:col>
      <xdr:colOff>17317</xdr:colOff>
      <xdr:row>5</xdr:row>
      <xdr:rowOff>59061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63" y="0"/>
          <a:ext cx="2615045" cy="1738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</xdr:row>
          <xdr:rowOff>76200</xdr:rowOff>
        </xdr:from>
        <xdr:to>
          <xdr:col>14</xdr:col>
          <xdr:colOff>571500</xdr:colOff>
          <xdr:row>5</xdr:row>
          <xdr:rowOff>47625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t-B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Estudo</a:t>
              </a:r>
            </a:p>
            <a:p>
              <a:pPr algn="ctr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Ctrl + Shift + 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5</xdr:row>
          <xdr:rowOff>152400</xdr:rowOff>
        </xdr:from>
        <xdr:to>
          <xdr:col>14</xdr:col>
          <xdr:colOff>561975</xdr:colOff>
          <xdr:row>7</xdr:row>
          <xdr:rowOff>142875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t-B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Completo</a:t>
              </a:r>
            </a:p>
            <a:p>
              <a:pPr algn="ctr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Ctrl + Shift + P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NDAS/SECRETARIA%20DE%20VENDAS/LIVING/Empreendimentos/Exato%20Rio%20Grande/Simulador/2019/06.2019/Dispers&#227;o/Dispers&#227;o%20Exato%20RG%20rev.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DE INFORMAÇÕES"/>
      <sheetName val="Entrada dados"/>
      <sheetName val="Plan1"/>
      <sheetName val="Tabela"/>
    </sheetNames>
    <sheetDataSet>
      <sheetData sheetId="0"/>
      <sheetData sheetId="1"/>
      <sheetData sheetId="2">
        <row r="14">
          <cell r="E14" t="str">
            <v>1/101</v>
          </cell>
          <cell r="F14">
            <v>208220.28788990152</v>
          </cell>
        </row>
        <row r="15">
          <cell r="E15" t="str">
            <v>1/102</v>
          </cell>
          <cell r="F15">
            <v>203661.47030792324</v>
          </cell>
        </row>
        <row r="16">
          <cell r="E16" t="str">
            <v>1/103</v>
          </cell>
          <cell r="F16">
            <v>203709.68857080961</v>
          </cell>
        </row>
        <row r="17">
          <cell r="E17" t="str">
            <v>1/104</v>
          </cell>
          <cell r="F17">
            <v>203709.68857080961</v>
          </cell>
        </row>
        <row r="18">
          <cell r="E18" t="str">
            <v>1/105</v>
          </cell>
          <cell r="F18">
            <v>203661.47030792324</v>
          </cell>
        </row>
        <row r="19">
          <cell r="E19" t="str">
            <v>1/106</v>
          </cell>
          <cell r="F19">
            <v>208220.28788990152</v>
          </cell>
        </row>
        <row r="20">
          <cell r="E20" t="str">
            <v>1/107</v>
          </cell>
          <cell r="F20">
            <v>208139.94072250937</v>
          </cell>
        </row>
        <row r="21">
          <cell r="E21" t="str">
            <v>1/201</v>
          </cell>
          <cell r="F21">
            <v>215490.40224431944</v>
          </cell>
        </row>
        <row r="22">
          <cell r="E22" t="str">
            <v>1/202</v>
          </cell>
          <cell r="F22">
            <v>210787.62200185767</v>
          </cell>
        </row>
        <row r="23">
          <cell r="E23" t="str">
            <v>1/203</v>
          </cell>
          <cell r="F23">
            <v>210837.3629467299</v>
          </cell>
        </row>
        <row r="24">
          <cell r="E24" t="str">
            <v>1/204</v>
          </cell>
          <cell r="F24">
            <v>210837.3629467299</v>
          </cell>
        </row>
        <row r="25">
          <cell r="E25" t="str">
            <v>1/205</v>
          </cell>
          <cell r="F25">
            <v>210787.62200185767</v>
          </cell>
        </row>
        <row r="26">
          <cell r="E26" t="str">
            <v>1/206</v>
          </cell>
          <cell r="F26">
            <v>215490.40224431944</v>
          </cell>
        </row>
        <row r="27">
          <cell r="E27" t="str">
            <v>1/207</v>
          </cell>
          <cell r="F27">
            <v>215407.51779795703</v>
          </cell>
        </row>
        <row r="28">
          <cell r="E28" t="str">
            <v>1/208</v>
          </cell>
          <cell r="F28">
            <v>215407.51779795703</v>
          </cell>
        </row>
        <row r="29">
          <cell r="E29" t="str">
            <v>1/301</v>
          </cell>
          <cell r="F29">
            <v>215490.40224431944</v>
          </cell>
        </row>
        <row r="30">
          <cell r="E30" t="str">
            <v>1/302</v>
          </cell>
          <cell r="F30">
            <v>210787.62200185767</v>
          </cell>
        </row>
        <row r="31">
          <cell r="E31" t="str">
            <v>1/303</v>
          </cell>
          <cell r="F31">
            <v>210837.3629467299</v>
          </cell>
        </row>
        <row r="32">
          <cell r="E32" t="str">
            <v>1/304</v>
          </cell>
          <cell r="F32">
            <v>210837.3629467299</v>
          </cell>
        </row>
        <row r="33">
          <cell r="E33" t="str">
            <v>1/305</v>
          </cell>
          <cell r="F33">
            <v>210787.62200185767</v>
          </cell>
        </row>
        <row r="34">
          <cell r="E34" t="str">
            <v>1/306</v>
          </cell>
          <cell r="F34">
            <v>215490.40224431944</v>
          </cell>
        </row>
        <row r="35">
          <cell r="E35" t="str">
            <v>1/307</v>
          </cell>
          <cell r="F35">
            <v>215407.51779795703</v>
          </cell>
        </row>
        <row r="36">
          <cell r="E36" t="str">
            <v>1/308</v>
          </cell>
          <cell r="F36">
            <v>215407.51779795703</v>
          </cell>
        </row>
        <row r="37">
          <cell r="E37" t="str">
            <v>1/401</v>
          </cell>
          <cell r="F37">
            <v>238702.08797005579</v>
          </cell>
        </row>
        <row r="38">
          <cell r="E38" t="str">
            <v>1/402</v>
          </cell>
          <cell r="F38">
            <v>233975.31395084676</v>
          </cell>
        </row>
        <row r="39">
          <cell r="E39" t="str">
            <v>1/403</v>
          </cell>
          <cell r="F39">
            <v>234025.30867604996</v>
          </cell>
        </row>
        <row r="40">
          <cell r="E40" t="str">
            <v>1/404</v>
          </cell>
          <cell r="F40">
            <v>234025.30867604996</v>
          </cell>
        </row>
        <row r="41">
          <cell r="E41" t="str">
            <v>1/405</v>
          </cell>
          <cell r="F41">
            <v>233975.31395084676</v>
          </cell>
        </row>
        <row r="42">
          <cell r="E42" t="str">
            <v>1/406</v>
          </cell>
          <cell r="F42">
            <v>238702.08797005579</v>
          </cell>
        </row>
        <row r="43">
          <cell r="E43" t="str">
            <v>1/407</v>
          </cell>
          <cell r="F43">
            <v>238618.78064386497</v>
          </cell>
        </row>
        <row r="44">
          <cell r="E44" t="str">
            <v>1/408</v>
          </cell>
          <cell r="F44">
            <v>238618.78064386497</v>
          </cell>
        </row>
        <row r="45">
          <cell r="E45" t="str">
            <v>1/501</v>
          </cell>
          <cell r="F45">
            <v>238702.08797005579</v>
          </cell>
        </row>
        <row r="46">
          <cell r="E46" t="str">
            <v>1/502</v>
          </cell>
          <cell r="F46">
            <v>233975.31395084676</v>
          </cell>
        </row>
        <row r="47">
          <cell r="E47" t="str">
            <v>1/503</v>
          </cell>
          <cell r="F47">
            <v>234025.30867604996</v>
          </cell>
        </row>
        <row r="48">
          <cell r="E48" t="str">
            <v>1/504</v>
          </cell>
          <cell r="F48">
            <v>234025.30867604996</v>
          </cell>
        </row>
        <row r="49">
          <cell r="E49" t="str">
            <v>1/505</v>
          </cell>
          <cell r="F49">
            <v>233975.31395084676</v>
          </cell>
        </row>
        <row r="50">
          <cell r="E50" t="str">
            <v>1/506</v>
          </cell>
          <cell r="F50">
            <v>238702.08797005579</v>
          </cell>
        </row>
        <row r="51">
          <cell r="E51" t="str">
            <v>1/507</v>
          </cell>
          <cell r="F51">
            <v>238618.78064386497</v>
          </cell>
        </row>
        <row r="52">
          <cell r="E52" t="str">
            <v>1/508</v>
          </cell>
          <cell r="F52">
            <v>238618.78064386497</v>
          </cell>
        </row>
        <row r="53">
          <cell r="E53" t="str">
            <v>1/601</v>
          </cell>
          <cell r="F53">
            <v>239913.7736957921</v>
          </cell>
        </row>
        <row r="54">
          <cell r="E54" t="str">
            <v>1/602</v>
          </cell>
          <cell r="F54">
            <v>235163.00589983581</v>
          </cell>
        </row>
        <row r="55">
          <cell r="E55" t="str">
            <v>1/603</v>
          </cell>
          <cell r="F55">
            <v>235213.25440537001</v>
          </cell>
        </row>
        <row r="56">
          <cell r="E56" t="str">
            <v>1/604</v>
          </cell>
          <cell r="F56">
            <v>235213.25440537001</v>
          </cell>
        </row>
        <row r="57">
          <cell r="E57" t="str">
            <v>1/605</v>
          </cell>
          <cell r="F57">
            <v>235163.00589983581</v>
          </cell>
        </row>
        <row r="58">
          <cell r="E58" t="str">
            <v>1/606</v>
          </cell>
          <cell r="F58">
            <v>239913.7736957921</v>
          </cell>
        </row>
        <row r="59">
          <cell r="E59" t="str">
            <v>1/607</v>
          </cell>
          <cell r="F59">
            <v>239830.04348977294</v>
          </cell>
        </row>
        <row r="60">
          <cell r="E60" t="str">
            <v>1/608</v>
          </cell>
          <cell r="F60">
            <v>239830.04348977294</v>
          </cell>
        </row>
        <row r="61">
          <cell r="E61" t="str">
            <v>1/701</v>
          </cell>
          <cell r="F61">
            <v>239913.7736957921</v>
          </cell>
        </row>
        <row r="62">
          <cell r="E62" t="str">
            <v>1/702</v>
          </cell>
          <cell r="F62">
            <v>235163.00589983581</v>
          </cell>
        </row>
        <row r="63">
          <cell r="E63" t="str">
            <v>1/703</v>
          </cell>
          <cell r="F63">
            <v>235213.25440537001</v>
          </cell>
        </row>
        <row r="64">
          <cell r="E64" t="str">
            <v>1/704</v>
          </cell>
          <cell r="F64">
            <v>235213.25440537001</v>
          </cell>
        </row>
        <row r="65">
          <cell r="E65" t="str">
            <v>1/705</v>
          </cell>
          <cell r="F65">
            <v>235163.00589983581</v>
          </cell>
        </row>
        <row r="66">
          <cell r="E66" t="str">
            <v>1/706</v>
          </cell>
          <cell r="F66">
            <v>239913.7736957921</v>
          </cell>
        </row>
        <row r="67">
          <cell r="E67" t="str">
            <v>1/707</v>
          </cell>
          <cell r="F67">
            <v>239830.04348977294</v>
          </cell>
        </row>
        <row r="68">
          <cell r="E68" t="str">
            <v>1/708</v>
          </cell>
          <cell r="F68">
            <v>239830.04348977294</v>
          </cell>
        </row>
        <row r="69">
          <cell r="E69" t="str">
            <v>1/801</v>
          </cell>
          <cell r="F69">
            <v>239913.7736957921</v>
          </cell>
        </row>
        <row r="70">
          <cell r="E70" t="str">
            <v>1/802</v>
          </cell>
          <cell r="F70">
            <v>235163.00589983581</v>
          </cell>
        </row>
        <row r="71">
          <cell r="E71" t="str">
            <v>1/803</v>
          </cell>
          <cell r="F71">
            <v>235213.25440537001</v>
          </cell>
        </row>
        <row r="72">
          <cell r="E72" t="str">
            <v>1/804</v>
          </cell>
          <cell r="F72">
            <v>235213.25440537001</v>
          </cell>
        </row>
        <row r="73">
          <cell r="E73" t="str">
            <v>1/805</v>
          </cell>
          <cell r="F73">
            <v>235163.00589983581</v>
          </cell>
        </row>
        <row r="74">
          <cell r="E74" t="str">
            <v>1/806</v>
          </cell>
          <cell r="F74">
            <v>239913.7736957921</v>
          </cell>
        </row>
        <row r="75">
          <cell r="E75" t="str">
            <v>1/807</v>
          </cell>
          <cell r="F75">
            <v>239830.04348977294</v>
          </cell>
        </row>
        <row r="76">
          <cell r="E76" t="str">
            <v>1/808</v>
          </cell>
          <cell r="F76">
            <v>239830.04348977294</v>
          </cell>
        </row>
        <row r="77">
          <cell r="E77" t="str">
            <v>2/101</v>
          </cell>
          <cell r="F77">
            <v>207080.58349440698</v>
          </cell>
        </row>
        <row r="78">
          <cell r="E78" t="str">
            <v>2/102</v>
          </cell>
          <cell r="F78">
            <v>202521.7659124287</v>
          </cell>
        </row>
        <row r="79">
          <cell r="E79" t="str">
            <v>2/103</v>
          </cell>
          <cell r="F79">
            <v>202543.83274141492</v>
          </cell>
        </row>
        <row r="80">
          <cell r="E80" t="str">
            <v>2/104</v>
          </cell>
          <cell r="F80">
            <v>202543.83274141492</v>
          </cell>
        </row>
        <row r="81">
          <cell r="E81" t="str">
            <v>2/105</v>
          </cell>
          <cell r="F81">
            <v>202521.7659124287</v>
          </cell>
        </row>
        <row r="82">
          <cell r="E82" t="str">
            <v>2/106</v>
          </cell>
          <cell r="F82">
            <v>207080.58349440698</v>
          </cell>
        </row>
        <row r="83">
          <cell r="E83" t="str">
            <v>2/107</v>
          </cell>
          <cell r="F83">
            <v>206974.08489311469</v>
          </cell>
        </row>
        <row r="84">
          <cell r="E84" t="str">
            <v>2/201</v>
          </cell>
          <cell r="F84">
            <v>214314.70718370401</v>
          </cell>
        </row>
        <row r="85">
          <cell r="E85" t="str">
            <v>2/202</v>
          </cell>
          <cell r="F85">
            <v>209611.92694124221</v>
          </cell>
        </row>
        <row r="86">
          <cell r="E86" t="str">
            <v>2/203</v>
          </cell>
          <cell r="F86">
            <v>209634.69061745959</v>
          </cell>
        </row>
        <row r="87">
          <cell r="E87" t="str">
            <v>2/204</v>
          </cell>
          <cell r="F87">
            <v>209634.69061745959</v>
          </cell>
        </row>
        <row r="88">
          <cell r="E88" t="str">
            <v>2/205</v>
          </cell>
          <cell r="F88">
            <v>209611.92694124221</v>
          </cell>
        </row>
        <row r="89">
          <cell r="E89" t="str">
            <v>2/206</v>
          </cell>
          <cell r="F89">
            <v>214314.70718370401</v>
          </cell>
        </row>
        <row r="90">
          <cell r="E90" t="str">
            <v>2/207</v>
          </cell>
          <cell r="F90">
            <v>214204.84546868675</v>
          </cell>
        </row>
        <row r="91">
          <cell r="E91" t="str">
            <v>2/208</v>
          </cell>
          <cell r="F91">
            <v>214204.84546868675</v>
          </cell>
        </row>
        <row r="92">
          <cell r="E92" t="str">
            <v>2/301</v>
          </cell>
          <cell r="F92">
            <v>214314.70718370401</v>
          </cell>
        </row>
        <row r="93">
          <cell r="E93" t="str">
            <v>2/302</v>
          </cell>
          <cell r="F93">
            <v>209611.92694124221</v>
          </cell>
        </row>
        <row r="94">
          <cell r="E94" t="str">
            <v>2/303</v>
          </cell>
          <cell r="F94">
            <v>209634.69061745959</v>
          </cell>
        </row>
        <row r="95">
          <cell r="E95" t="str">
            <v>2/304</v>
          </cell>
          <cell r="F95">
            <v>209634.69061745959</v>
          </cell>
        </row>
        <row r="96">
          <cell r="E96" t="str">
            <v>2/305</v>
          </cell>
          <cell r="F96">
            <v>209611.92694124221</v>
          </cell>
        </row>
        <row r="97">
          <cell r="E97" t="str">
            <v>2/306</v>
          </cell>
          <cell r="F97">
            <v>214314.70718370401</v>
          </cell>
        </row>
        <row r="98">
          <cell r="E98" t="str">
            <v>2/307</v>
          </cell>
          <cell r="F98">
            <v>214204.84546868675</v>
          </cell>
        </row>
        <row r="99">
          <cell r="E99" t="str">
            <v>2/308</v>
          </cell>
          <cell r="F99">
            <v>214204.84546868675</v>
          </cell>
        </row>
        <row r="100">
          <cell r="E100" t="str">
            <v>2/401</v>
          </cell>
          <cell r="F100">
            <v>237520.39446525354</v>
          </cell>
        </row>
        <row r="101">
          <cell r="E101" t="str">
            <v>2/402</v>
          </cell>
          <cell r="F101">
            <v>232793.62044604449</v>
          </cell>
        </row>
        <row r="102">
          <cell r="E102" t="str">
            <v>2/403</v>
          </cell>
          <cell r="F102">
            <v>232816.50026346705</v>
          </cell>
        </row>
        <row r="103">
          <cell r="E103" t="str">
            <v>2/404</v>
          </cell>
          <cell r="F103">
            <v>232816.50026346705</v>
          </cell>
        </row>
        <row r="104">
          <cell r="E104" t="str">
            <v>2/405</v>
          </cell>
          <cell r="F104">
            <v>232793.62044604449</v>
          </cell>
        </row>
        <row r="105">
          <cell r="E105" t="str">
            <v>2/406</v>
          </cell>
          <cell r="F105">
            <v>237520.39446525354</v>
          </cell>
        </row>
        <row r="106">
          <cell r="E106" t="str">
            <v>2/407</v>
          </cell>
          <cell r="F106">
            <v>237409.9722312821</v>
          </cell>
        </row>
        <row r="107">
          <cell r="E107" t="str">
            <v>2/408</v>
          </cell>
          <cell r="F107">
            <v>237409.9722312821</v>
          </cell>
        </row>
        <row r="108">
          <cell r="E108" t="str">
            <v>2/501</v>
          </cell>
          <cell r="F108">
            <v>237520.39446525354</v>
          </cell>
        </row>
        <row r="109">
          <cell r="E109" t="str">
            <v>2/502</v>
          </cell>
          <cell r="F109">
            <v>232793.62044604449</v>
          </cell>
        </row>
        <row r="110">
          <cell r="E110" t="str">
            <v>2/503</v>
          </cell>
          <cell r="F110">
            <v>232816.50026346705</v>
          </cell>
        </row>
        <row r="111">
          <cell r="E111" t="str">
            <v>2/504</v>
          </cell>
          <cell r="F111">
            <v>232816.50026346705</v>
          </cell>
        </row>
        <row r="112">
          <cell r="E112" t="str">
            <v>2/505</v>
          </cell>
          <cell r="F112">
            <v>232793.62044604449</v>
          </cell>
        </row>
        <row r="113">
          <cell r="E113" t="str">
            <v>2/506</v>
          </cell>
          <cell r="F113">
            <v>237520.39446525354</v>
          </cell>
        </row>
        <row r="114">
          <cell r="E114" t="str">
            <v>2/507</v>
          </cell>
          <cell r="F114">
            <v>237409.9722312821</v>
          </cell>
        </row>
        <row r="115">
          <cell r="E115" t="str">
            <v>2/508</v>
          </cell>
          <cell r="F115">
            <v>237409.9722312821</v>
          </cell>
        </row>
        <row r="116">
          <cell r="E116" t="str">
            <v>2/601</v>
          </cell>
          <cell r="F116">
            <v>238726.08174680304</v>
          </cell>
        </row>
        <row r="117">
          <cell r="E117" t="str">
            <v>2/602</v>
          </cell>
          <cell r="F117">
            <v>233975.31395084676</v>
          </cell>
        </row>
        <row r="118">
          <cell r="E118" t="str">
            <v>2/603</v>
          </cell>
          <cell r="F118">
            <v>233998.30990947451</v>
          </cell>
        </row>
        <row r="119">
          <cell r="E119" t="str">
            <v>2/604</v>
          </cell>
          <cell r="F119">
            <v>233998.30990947451</v>
          </cell>
        </row>
        <row r="120">
          <cell r="E120" t="str">
            <v>2/605</v>
          </cell>
          <cell r="F120">
            <v>233975.31395084676</v>
          </cell>
        </row>
        <row r="121">
          <cell r="E121" t="str">
            <v>2/606</v>
          </cell>
          <cell r="F121">
            <v>238726.08174680304</v>
          </cell>
        </row>
        <row r="122">
          <cell r="E122" t="str">
            <v>2/607</v>
          </cell>
          <cell r="F122">
            <v>238615.09899387741</v>
          </cell>
        </row>
        <row r="123">
          <cell r="E123" t="str">
            <v>2/608</v>
          </cell>
          <cell r="F123">
            <v>238615.09899387741</v>
          </cell>
        </row>
        <row r="124">
          <cell r="E124" t="str">
            <v>2/701</v>
          </cell>
          <cell r="F124">
            <v>238726.08174680304</v>
          </cell>
        </row>
        <row r="125">
          <cell r="E125" t="str">
            <v>2/702</v>
          </cell>
          <cell r="F125">
            <v>233975.31395084676</v>
          </cell>
        </row>
        <row r="126">
          <cell r="E126" t="str">
            <v>2/703</v>
          </cell>
          <cell r="F126">
            <v>233998.30990947451</v>
          </cell>
        </row>
        <row r="127">
          <cell r="E127" t="str">
            <v>2/704</v>
          </cell>
          <cell r="F127">
            <v>233998.30990947451</v>
          </cell>
        </row>
        <row r="128">
          <cell r="E128" t="str">
            <v>2/705</v>
          </cell>
          <cell r="F128">
            <v>233975.31395084676</v>
          </cell>
        </row>
        <row r="129">
          <cell r="E129" t="str">
            <v>2/706</v>
          </cell>
          <cell r="F129">
            <v>238726.08174680304</v>
          </cell>
        </row>
        <row r="130">
          <cell r="E130" t="str">
            <v>2/707</v>
          </cell>
          <cell r="F130">
            <v>238615.09899387741</v>
          </cell>
        </row>
        <row r="131">
          <cell r="E131" t="str">
            <v>2/708</v>
          </cell>
          <cell r="F131">
            <v>238615.09899387741</v>
          </cell>
        </row>
        <row r="132">
          <cell r="E132" t="str">
            <v>2/801</v>
          </cell>
          <cell r="F132">
            <v>215000</v>
          </cell>
        </row>
        <row r="133">
          <cell r="E133" t="str">
            <v>2/802</v>
          </cell>
          <cell r="F133">
            <v>215000</v>
          </cell>
        </row>
        <row r="134">
          <cell r="E134" t="str">
            <v>2/803</v>
          </cell>
          <cell r="F134">
            <v>233998.30990947451</v>
          </cell>
        </row>
        <row r="135">
          <cell r="E135" t="str">
            <v>2/804</v>
          </cell>
          <cell r="F135">
            <v>233998.30990947451</v>
          </cell>
        </row>
        <row r="136">
          <cell r="E136" t="str">
            <v>2/805</v>
          </cell>
          <cell r="F136">
            <v>215000</v>
          </cell>
        </row>
        <row r="137">
          <cell r="E137" t="str">
            <v>2/806</v>
          </cell>
          <cell r="F137">
            <v>215000</v>
          </cell>
        </row>
        <row r="138">
          <cell r="E138" t="str">
            <v>2/807</v>
          </cell>
          <cell r="F138">
            <v>238615.09899387741</v>
          </cell>
        </row>
        <row r="139">
          <cell r="E139" t="str">
            <v>2/808</v>
          </cell>
          <cell r="F139">
            <v>238615.09899387741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tabColor indexed="10"/>
  </sheetPr>
  <dimension ref="B1:K289"/>
  <sheetViews>
    <sheetView showGridLines="0" topLeftCell="C1" zoomScale="85" zoomScaleNormal="85" workbookViewId="0">
      <selection activeCell="J2" sqref="J2"/>
    </sheetView>
  </sheetViews>
  <sheetFormatPr defaultRowHeight="12.75" x14ac:dyDescent="0.2"/>
  <cols>
    <col min="1" max="1" width="2" style="4" customWidth="1"/>
    <col min="2" max="2" width="20.42578125" style="4" customWidth="1"/>
    <col min="3" max="3" width="60.5703125" style="14" customWidth="1"/>
    <col min="4" max="4" width="23.28515625" style="14" customWidth="1"/>
    <col min="5" max="5" width="16.7109375" style="4" bestFit="1" customWidth="1"/>
    <col min="6" max="6" width="18.42578125" style="4" customWidth="1"/>
    <col min="7" max="7" width="18.140625" style="4" customWidth="1"/>
    <col min="8" max="8" width="16.85546875" style="4" customWidth="1"/>
    <col min="9" max="9" width="16.42578125" style="4" customWidth="1"/>
    <col min="10" max="10" width="17.140625" style="4" bestFit="1" customWidth="1"/>
    <col min="11" max="11" width="10.28515625" style="4" bestFit="1" customWidth="1"/>
    <col min="12" max="16384" width="9.140625" style="4"/>
  </cols>
  <sheetData>
    <row r="1" spans="2:11" x14ac:dyDescent="0.2">
      <c r="B1" s="735" t="s">
        <v>150</v>
      </c>
      <c r="C1" s="735"/>
      <c r="D1" s="735"/>
      <c r="E1" s="735"/>
      <c r="H1" s="657" t="s">
        <v>209</v>
      </c>
      <c r="I1" s="657" t="s">
        <v>458</v>
      </c>
      <c r="J1" s="4">
        <f>1*1.0015*1.0023*1.0035*1.0013*1.0013*1.0049*1.0009*1.0031*1.0038*1.0003*1.0088*1.01*1.0058*1.0042*1.0046</f>
        <v>1.0577455056004221</v>
      </c>
    </row>
    <row r="2" spans="2:11" s="5" customFormat="1" ht="16.5" customHeight="1" x14ac:dyDescent="0.2">
      <c r="B2" s="57" t="s">
        <v>142</v>
      </c>
      <c r="C2" s="19"/>
      <c r="D2" s="19">
        <f>VLOOKUP('Simulador CEF'!G4,'DADOS DOS EMPREENDIMENTOS'!B10:C23,2,FALSE)</f>
        <v>1</v>
      </c>
      <c r="E2" s="58"/>
      <c r="H2" s="658" t="s">
        <v>208</v>
      </c>
    </row>
    <row r="3" spans="2:11" s="5" customFormat="1" ht="17.25" customHeight="1" x14ac:dyDescent="0.2">
      <c r="B3" s="35" t="s">
        <v>100</v>
      </c>
      <c r="C3" s="19"/>
      <c r="D3" s="736" t="str">
        <f>VLOOKUP(D2,'DADOS DOS EMPREENDIMENTOS'!A10:B23,2,FALSE)</f>
        <v>Exato Rio Grande</v>
      </c>
      <c r="E3" s="737"/>
    </row>
    <row r="4" spans="2:11" s="5" customFormat="1" ht="21.75" customHeight="1" x14ac:dyDescent="0.2">
      <c r="B4" s="57" t="s">
        <v>156</v>
      </c>
      <c r="C4" s="19"/>
      <c r="D4" s="32"/>
      <c r="E4" s="59">
        <f>VLOOKUP(D2,'DADOS DOS EMPREENDIMENTOS'!A10:I22,9,FALSE)</f>
        <v>240000</v>
      </c>
    </row>
    <row r="5" spans="2:11" s="5" customFormat="1" x14ac:dyDescent="0.2">
      <c r="B5" s="735" t="s">
        <v>151</v>
      </c>
      <c r="C5" s="735"/>
      <c r="D5" s="735"/>
      <c r="E5" s="735"/>
    </row>
    <row r="6" spans="2:11" s="5" customFormat="1" x14ac:dyDescent="0.2">
      <c r="B6" s="738"/>
      <c r="C6" s="60" t="s">
        <v>138</v>
      </c>
      <c r="D6" s="61" t="s">
        <v>148</v>
      </c>
      <c r="E6" s="61" t="s">
        <v>149</v>
      </c>
    </row>
    <row r="7" spans="2:11" s="62" customFormat="1" x14ac:dyDescent="0.2">
      <c r="B7" s="739"/>
      <c r="C7" s="19">
        <f>VLOOKUP($D$2,'DADOS DOS EMPREENDIMENTOS'!$C$10:$H$23,4,FALSE)</f>
        <v>2</v>
      </c>
      <c r="D7" s="19">
        <f>VLOOKUP($D$2,'DADOS DOS EMPREENDIMENTOS'!$C$10:$H$23,5,FALSE)</f>
        <v>3</v>
      </c>
      <c r="E7" s="19">
        <f>VLOOKUP($D$2,'DADOS DOS EMPREENDIMENTOS'!$C$10:$H$23,6,FALSE)</f>
        <v>4</v>
      </c>
      <c r="F7" s="19">
        <f>VLOOKUP($D$2,'DADOS DOS EMPREENDIMENTOS'!$C$10:$N$23,12,FALSE)</f>
        <v>5</v>
      </c>
    </row>
    <row r="8" spans="2:11" ht="24" customHeight="1" x14ac:dyDescent="0.2">
      <c r="B8" s="740"/>
      <c r="C8" s="19" t="s">
        <v>136</v>
      </c>
      <c r="D8" s="19" t="s">
        <v>22</v>
      </c>
      <c r="E8" s="19" t="s">
        <v>21</v>
      </c>
      <c r="F8" s="19" t="s">
        <v>18</v>
      </c>
      <c r="G8" s="19" t="s">
        <v>459</v>
      </c>
      <c r="H8" s="5"/>
      <c r="I8" s="662">
        <v>240000</v>
      </c>
      <c r="J8" s="662">
        <v>240001</v>
      </c>
    </row>
    <row r="9" spans="2:11" ht="13.5" thickBot="1" x14ac:dyDescent="0.25">
      <c r="B9" s="20">
        <v>1</v>
      </c>
      <c r="C9" s="607" t="s">
        <v>313</v>
      </c>
      <c r="D9" s="609">
        <f>ROUND((G9*$J$1),-1)</f>
        <v>220240</v>
      </c>
      <c r="E9" s="609">
        <v>216000</v>
      </c>
      <c r="F9" s="76">
        <f>VLOOKUP(B9,'DADOS DOS EMPREENDIMENTOS'!$O$16:$CX$37,Apoio!$F$7,FALSE)</f>
        <v>5</v>
      </c>
      <c r="G9" s="609">
        <v>208220.28788990152</v>
      </c>
      <c r="H9" s="14" t="str">
        <f>IF(D9&gt;=$J$8,$I$8,"Não alterar")</f>
        <v>Não alterar</v>
      </c>
    </row>
    <row r="10" spans="2:11" ht="13.5" thickBot="1" x14ac:dyDescent="0.25">
      <c r="B10" s="20"/>
      <c r="C10" s="607" t="s">
        <v>314</v>
      </c>
      <c r="D10" s="609">
        <f t="shared" ref="D10:D73" si="0">ROUND((G10*$J$1),-1)</f>
        <v>215420</v>
      </c>
      <c r="E10" s="609">
        <v>216000</v>
      </c>
      <c r="F10" s="76">
        <f>F9</f>
        <v>5</v>
      </c>
      <c r="G10" s="609">
        <v>203661.47030792324</v>
      </c>
      <c r="H10" s="14" t="str">
        <f t="shared" ref="H10:H73" si="1">IF(D10&gt;=$J$8,$I$8,"Não alterar")</f>
        <v>Não alterar</v>
      </c>
      <c r="I10" s="661"/>
      <c r="J10" s="661"/>
      <c r="K10" s="661"/>
    </row>
    <row r="11" spans="2:11" ht="13.5" thickBot="1" x14ac:dyDescent="0.25">
      <c r="B11" s="20"/>
      <c r="C11" s="607" t="s">
        <v>315</v>
      </c>
      <c r="D11" s="609">
        <f t="shared" si="0"/>
        <v>215470</v>
      </c>
      <c r="E11" s="609">
        <v>220000</v>
      </c>
      <c r="F11" s="76">
        <f t="shared" ref="F11:F74" si="2">F10</f>
        <v>5</v>
      </c>
      <c r="G11" s="609">
        <v>203709.68857080961</v>
      </c>
      <c r="H11" s="14" t="str">
        <f t="shared" si="1"/>
        <v>Não alterar</v>
      </c>
    </row>
    <row r="12" spans="2:11" ht="13.5" thickBot="1" x14ac:dyDescent="0.25">
      <c r="B12" s="20"/>
      <c r="C12" s="607" t="s">
        <v>316</v>
      </c>
      <c r="D12" s="609">
        <f t="shared" si="0"/>
        <v>215470</v>
      </c>
      <c r="E12" s="609">
        <v>220000</v>
      </c>
      <c r="F12" s="76">
        <f t="shared" si="2"/>
        <v>5</v>
      </c>
      <c r="G12" s="609">
        <v>203709.68857080961</v>
      </c>
      <c r="H12" s="14" t="str">
        <f t="shared" si="1"/>
        <v>Não alterar</v>
      </c>
    </row>
    <row r="13" spans="2:11" ht="13.5" thickBot="1" x14ac:dyDescent="0.25">
      <c r="B13" s="20"/>
      <c r="C13" s="607" t="s">
        <v>317</v>
      </c>
      <c r="D13" s="609">
        <f t="shared" si="0"/>
        <v>215420</v>
      </c>
      <c r="E13" s="609">
        <v>216000</v>
      </c>
      <c r="F13" s="76">
        <f t="shared" si="2"/>
        <v>5</v>
      </c>
      <c r="G13" s="609">
        <v>203661.47030792324</v>
      </c>
      <c r="H13" s="14" t="str">
        <f t="shared" si="1"/>
        <v>Não alterar</v>
      </c>
    </row>
    <row r="14" spans="2:11" ht="13.5" thickBot="1" x14ac:dyDescent="0.25">
      <c r="B14" s="20"/>
      <c r="C14" s="607" t="s">
        <v>318</v>
      </c>
      <c r="D14" s="609">
        <f t="shared" si="0"/>
        <v>220240</v>
      </c>
      <c r="E14" s="609">
        <v>216000</v>
      </c>
      <c r="F14" s="76">
        <f t="shared" si="2"/>
        <v>5</v>
      </c>
      <c r="G14" s="609">
        <v>208220.28788990152</v>
      </c>
      <c r="H14" s="14" t="str">
        <f t="shared" si="1"/>
        <v>Não alterar</v>
      </c>
    </row>
    <row r="15" spans="2:11" ht="13.5" thickBot="1" x14ac:dyDescent="0.25">
      <c r="B15" s="20"/>
      <c r="C15" s="607" t="s">
        <v>460</v>
      </c>
      <c r="D15" s="609">
        <f t="shared" si="0"/>
        <v>220160</v>
      </c>
      <c r="E15" s="609">
        <v>220000</v>
      </c>
      <c r="F15" s="76">
        <f t="shared" si="2"/>
        <v>5</v>
      </c>
      <c r="G15" s="609">
        <v>208139.94072250937</v>
      </c>
      <c r="H15" s="14" t="str">
        <f t="shared" si="1"/>
        <v>Não alterar</v>
      </c>
    </row>
    <row r="16" spans="2:11" ht="13.5" thickBot="1" x14ac:dyDescent="0.25">
      <c r="B16" s="20"/>
      <c r="C16" s="607" t="s">
        <v>319</v>
      </c>
      <c r="D16" s="609">
        <f t="shared" si="0"/>
        <v>227930</v>
      </c>
      <c r="E16" s="609">
        <v>220000</v>
      </c>
      <c r="F16" s="76">
        <f t="shared" si="2"/>
        <v>5</v>
      </c>
      <c r="G16" s="609">
        <v>215490.40224431944</v>
      </c>
      <c r="H16" s="14" t="str">
        <f t="shared" si="1"/>
        <v>Não alterar</v>
      </c>
    </row>
    <row r="17" spans="2:8" ht="13.5" thickBot="1" x14ac:dyDescent="0.25">
      <c r="B17" s="20"/>
      <c r="C17" s="607" t="s">
        <v>320</v>
      </c>
      <c r="D17" s="609">
        <f t="shared" si="0"/>
        <v>222960</v>
      </c>
      <c r="E17" s="609">
        <v>220000</v>
      </c>
      <c r="F17" s="76">
        <f t="shared" si="2"/>
        <v>5</v>
      </c>
      <c r="G17" s="609">
        <v>210787.62200185767</v>
      </c>
      <c r="H17" s="14" t="str">
        <f t="shared" si="1"/>
        <v>Não alterar</v>
      </c>
    </row>
    <row r="18" spans="2:8" ht="13.5" thickBot="1" x14ac:dyDescent="0.25">
      <c r="B18" s="20"/>
      <c r="C18" s="607" t="s">
        <v>321</v>
      </c>
      <c r="D18" s="609">
        <f t="shared" si="0"/>
        <v>223010</v>
      </c>
      <c r="E18" s="609">
        <v>220000</v>
      </c>
      <c r="F18" s="76">
        <f t="shared" si="2"/>
        <v>5</v>
      </c>
      <c r="G18" s="609">
        <v>210837.3629467299</v>
      </c>
      <c r="H18" s="14" t="str">
        <f t="shared" si="1"/>
        <v>Não alterar</v>
      </c>
    </row>
    <row r="19" spans="2:8" ht="13.5" thickBot="1" x14ac:dyDescent="0.25">
      <c r="B19" s="20"/>
      <c r="C19" s="607" t="s">
        <v>322</v>
      </c>
      <c r="D19" s="609">
        <f t="shared" si="0"/>
        <v>223010</v>
      </c>
      <c r="E19" s="609">
        <v>220000</v>
      </c>
      <c r="F19" s="76">
        <f t="shared" si="2"/>
        <v>5</v>
      </c>
      <c r="G19" s="609">
        <v>210837.3629467299</v>
      </c>
      <c r="H19" s="14" t="str">
        <f t="shared" si="1"/>
        <v>Não alterar</v>
      </c>
    </row>
    <row r="20" spans="2:8" ht="13.5" thickBot="1" x14ac:dyDescent="0.25">
      <c r="B20" s="20"/>
      <c r="C20" s="607" t="s">
        <v>323</v>
      </c>
      <c r="D20" s="609">
        <f t="shared" si="0"/>
        <v>222960</v>
      </c>
      <c r="E20" s="609">
        <v>220000</v>
      </c>
      <c r="F20" s="76">
        <f t="shared" si="2"/>
        <v>5</v>
      </c>
      <c r="G20" s="609">
        <v>210787.62200185767</v>
      </c>
      <c r="H20" s="14" t="str">
        <f t="shared" si="1"/>
        <v>Não alterar</v>
      </c>
    </row>
    <row r="21" spans="2:8" ht="13.5" thickBot="1" x14ac:dyDescent="0.25">
      <c r="B21" s="20"/>
      <c r="C21" s="607" t="s">
        <v>324</v>
      </c>
      <c r="D21" s="609">
        <f t="shared" si="0"/>
        <v>227930</v>
      </c>
      <c r="E21" s="609">
        <v>220000</v>
      </c>
      <c r="F21" s="76">
        <f t="shared" si="2"/>
        <v>5</v>
      </c>
      <c r="G21" s="609">
        <v>215490.40224431944</v>
      </c>
      <c r="H21" s="14" t="str">
        <f t="shared" si="1"/>
        <v>Não alterar</v>
      </c>
    </row>
    <row r="22" spans="2:8" ht="13.5" thickBot="1" x14ac:dyDescent="0.25">
      <c r="B22" s="20"/>
      <c r="C22" s="607" t="s">
        <v>325</v>
      </c>
      <c r="D22" s="609">
        <f t="shared" si="0"/>
        <v>227850</v>
      </c>
      <c r="E22" s="609">
        <v>220000</v>
      </c>
      <c r="F22" s="76">
        <f t="shared" si="2"/>
        <v>5</v>
      </c>
      <c r="G22" s="609">
        <v>215407.51779795703</v>
      </c>
      <c r="H22" s="14" t="str">
        <f t="shared" si="1"/>
        <v>Não alterar</v>
      </c>
    </row>
    <row r="23" spans="2:8" ht="13.5" thickBot="1" x14ac:dyDescent="0.25">
      <c r="B23" s="20"/>
      <c r="C23" s="607" t="s">
        <v>326</v>
      </c>
      <c r="D23" s="609">
        <f t="shared" si="0"/>
        <v>227850</v>
      </c>
      <c r="E23" s="609">
        <v>220000</v>
      </c>
      <c r="F23" s="76">
        <f t="shared" si="2"/>
        <v>5</v>
      </c>
      <c r="G23" s="609">
        <v>215407.51779795703</v>
      </c>
      <c r="H23" s="14" t="str">
        <f t="shared" si="1"/>
        <v>Não alterar</v>
      </c>
    </row>
    <row r="24" spans="2:8" ht="13.5" thickBot="1" x14ac:dyDescent="0.25">
      <c r="B24" s="20"/>
      <c r="C24" s="607" t="s">
        <v>327</v>
      </c>
      <c r="D24" s="609">
        <f t="shared" si="0"/>
        <v>227930</v>
      </c>
      <c r="E24" s="609">
        <v>220000</v>
      </c>
      <c r="F24" s="76">
        <f t="shared" si="2"/>
        <v>5</v>
      </c>
      <c r="G24" s="609">
        <v>215490.40224431944</v>
      </c>
      <c r="H24" s="14" t="str">
        <f t="shared" si="1"/>
        <v>Não alterar</v>
      </c>
    </row>
    <row r="25" spans="2:8" ht="13.5" thickBot="1" x14ac:dyDescent="0.25">
      <c r="B25" s="20"/>
      <c r="C25" s="607" t="s">
        <v>328</v>
      </c>
      <c r="D25" s="609">
        <f t="shared" si="0"/>
        <v>222960</v>
      </c>
      <c r="E25" s="609">
        <v>220000</v>
      </c>
      <c r="F25" s="76">
        <f t="shared" si="2"/>
        <v>5</v>
      </c>
      <c r="G25" s="609">
        <v>210787.62200185767</v>
      </c>
      <c r="H25" s="14" t="str">
        <f t="shared" si="1"/>
        <v>Não alterar</v>
      </c>
    </row>
    <row r="26" spans="2:8" ht="13.5" thickBot="1" x14ac:dyDescent="0.25">
      <c r="B26" s="20"/>
      <c r="C26" s="607" t="s">
        <v>329</v>
      </c>
      <c r="D26" s="609">
        <f t="shared" si="0"/>
        <v>223010</v>
      </c>
      <c r="E26" s="609">
        <v>220000</v>
      </c>
      <c r="F26" s="76">
        <f t="shared" si="2"/>
        <v>5</v>
      </c>
      <c r="G26" s="609">
        <v>210837.3629467299</v>
      </c>
      <c r="H26" s="14" t="str">
        <f t="shared" si="1"/>
        <v>Não alterar</v>
      </c>
    </row>
    <row r="27" spans="2:8" ht="13.5" thickBot="1" x14ac:dyDescent="0.25">
      <c r="B27" s="20"/>
      <c r="C27" s="607" t="s">
        <v>330</v>
      </c>
      <c r="D27" s="609">
        <f t="shared" si="0"/>
        <v>223010</v>
      </c>
      <c r="E27" s="609">
        <v>220000</v>
      </c>
      <c r="F27" s="76">
        <f t="shared" si="2"/>
        <v>5</v>
      </c>
      <c r="G27" s="609">
        <v>210837.3629467299</v>
      </c>
      <c r="H27" s="14" t="str">
        <f t="shared" si="1"/>
        <v>Não alterar</v>
      </c>
    </row>
    <row r="28" spans="2:8" ht="13.5" thickBot="1" x14ac:dyDescent="0.25">
      <c r="B28" s="20"/>
      <c r="C28" s="607" t="s">
        <v>331</v>
      </c>
      <c r="D28" s="609">
        <f t="shared" si="0"/>
        <v>222960</v>
      </c>
      <c r="E28" s="609">
        <v>220000</v>
      </c>
      <c r="F28" s="76">
        <f t="shared" si="2"/>
        <v>5</v>
      </c>
      <c r="G28" s="609">
        <v>210787.62200185767</v>
      </c>
      <c r="H28" s="14" t="str">
        <f t="shared" si="1"/>
        <v>Não alterar</v>
      </c>
    </row>
    <row r="29" spans="2:8" ht="13.5" thickBot="1" x14ac:dyDescent="0.25">
      <c r="B29" s="20"/>
      <c r="C29" s="607" t="s">
        <v>332</v>
      </c>
      <c r="D29" s="609">
        <f t="shared" si="0"/>
        <v>227930</v>
      </c>
      <c r="E29" s="609">
        <v>220000</v>
      </c>
      <c r="F29" s="76">
        <f t="shared" si="2"/>
        <v>5</v>
      </c>
      <c r="G29" s="609">
        <v>215490.40224431944</v>
      </c>
      <c r="H29" s="14" t="str">
        <f t="shared" si="1"/>
        <v>Não alterar</v>
      </c>
    </row>
    <row r="30" spans="2:8" ht="13.5" thickBot="1" x14ac:dyDescent="0.25">
      <c r="B30" s="20"/>
      <c r="C30" s="607" t="s">
        <v>333</v>
      </c>
      <c r="D30" s="609">
        <f t="shared" si="0"/>
        <v>227850</v>
      </c>
      <c r="E30" s="609">
        <v>220000</v>
      </c>
      <c r="F30" s="76">
        <f t="shared" si="2"/>
        <v>5</v>
      </c>
      <c r="G30" s="609">
        <v>215407.51779795703</v>
      </c>
      <c r="H30" s="14" t="str">
        <f t="shared" si="1"/>
        <v>Não alterar</v>
      </c>
    </row>
    <row r="31" spans="2:8" ht="13.5" thickBot="1" x14ac:dyDescent="0.25">
      <c r="B31" s="20"/>
      <c r="C31" s="607" t="s">
        <v>334</v>
      </c>
      <c r="D31" s="609">
        <f t="shared" si="0"/>
        <v>227850</v>
      </c>
      <c r="E31" s="609">
        <v>220000</v>
      </c>
      <c r="F31" s="76">
        <f t="shared" si="2"/>
        <v>5</v>
      </c>
      <c r="G31" s="609">
        <v>215407.51779795703</v>
      </c>
      <c r="H31" s="14" t="str">
        <f t="shared" si="1"/>
        <v>Não alterar</v>
      </c>
    </row>
    <row r="32" spans="2:8" ht="13.5" thickBot="1" x14ac:dyDescent="0.25">
      <c r="B32" s="20"/>
      <c r="C32" s="607" t="s">
        <v>335</v>
      </c>
      <c r="D32" s="609">
        <v>240000</v>
      </c>
      <c r="E32" s="609">
        <v>240000</v>
      </c>
      <c r="F32" s="76">
        <f t="shared" si="2"/>
        <v>5</v>
      </c>
      <c r="G32" s="609">
        <v>238702.08797005579</v>
      </c>
      <c r="H32" s="14" t="str">
        <f t="shared" si="1"/>
        <v>Não alterar</v>
      </c>
    </row>
    <row r="33" spans="2:8" ht="13.5" thickBot="1" x14ac:dyDescent="0.25">
      <c r="B33" s="20"/>
      <c r="C33" s="607" t="s">
        <v>336</v>
      </c>
      <c r="D33" s="609">
        <v>240000</v>
      </c>
      <c r="E33" s="609">
        <v>240000</v>
      </c>
      <c r="F33" s="76">
        <f t="shared" si="2"/>
        <v>5</v>
      </c>
      <c r="G33" s="609">
        <v>233975.31395084676</v>
      </c>
      <c r="H33" s="14" t="str">
        <f t="shared" si="1"/>
        <v>Não alterar</v>
      </c>
    </row>
    <row r="34" spans="2:8" ht="13.5" thickBot="1" x14ac:dyDescent="0.25">
      <c r="B34" s="20"/>
      <c r="C34" s="607" t="s">
        <v>337</v>
      </c>
      <c r="D34" s="609">
        <v>240000</v>
      </c>
      <c r="E34" s="609">
        <v>240000</v>
      </c>
      <c r="F34" s="76">
        <f t="shared" si="2"/>
        <v>5</v>
      </c>
      <c r="G34" s="609">
        <v>234025.30867604996</v>
      </c>
      <c r="H34" s="14" t="str">
        <f t="shared" si="1"/>
        <v>Não alterar</v>
      </c>
    </row>
    <row r="35" spans="2:8" ht="13.5" thickBot="1" x14ac:dyDescent="0.25">
      <c r="B35" s="20"/>
      <c r="C35" s="607" t="s">
        <v>338</v>
      </c>
      <c r="D35" s="609">
        <v>240000</v>
      </c>
      <c r="E35" s="609">
        <v>240000</v>
      </c>
      <c r="F35" s="76">
        <f t="shared" si="2"/>
        <v>5</v>
      </c>
      <c r="G35" s="609">
        <v>234025.30867604996</v>
      </c>
      <c r="H35" s="14" t="str">
        <f t="shared" si="1"/>
        <v>Não alterar</v>
      </c>
    </row>
    <row r="36" spans="2:8" ht="13.5" thickBot="1" x14ac:dyDescent="0.25">
      <c r="B36" s="20"/>
      <c r="C36" s="607" t="s">
        <v>339</v>
      </c>
      <c r="D36" s="609">
        <v>240000</v>
      </c>
      <c r="E36" s="609">
        <v>240000</v>
      </c>
      <c r="F36" s="76">
        <f t="shared" si="2"/>
        <v>5</v>
      </c>
      <c r="G36" s="609">
        <v>233975.31395084676</v>
      </c>
      <c r="H36" s="14" t="str">
        <f t="shared" si="1"/>
        <v>Não alterar</v>
      </c>
    </row>
    <row r="37" spans="2:8" ht="13.5" thickBot="1" x14ac:dyDescent="0.25">
      <c r="B37" s="20"/>
      <c r="C37" s="607" t="s">
        <v>340</v>
      </c>
      <c r="D37" s="609">
        <v>240000</v>
      </c>
      <c r="E37" s="609">
        <v>240000</v>
      </c>
      <c r="F37" s="76">
        <f t="shared" si="2"/>
        <v>5</v>
      </c>
      <c r="G37" s="609">
        <v>238702.08797005579</v>
      </c>
      <c r="H37" s="14" t="str">
        <f t="shared" si="1"/>
        <v>Não alterar</v>
      </c>
    </row>
    <row r="38" spans="2:8" ht="13.5" thickBot="1" x14ac:dyDescent="0.25">
      <c r="B38" s="20"/>
      <c r="C38" s="607" t="s">
        <v>341</v>
      </c>
      <c r="D38" s="609">
        <v>240000</v>
      </c>
      <c r="E38" s="609">
        <v>240000</v>
      </c>
      <c r="F38" s="76">
        <f t="shared" si="2"/>
        <v>5</v>
      </c>
      <c r="G38" s="609">
        <v>238618.78064386497</v>
      </c>
      <c r="H38" s="14" t="str">
        <f t="shared" si="1"/>
        <v>Não alterar</v>
      </c>
    </row>
    <row r="39" spans="2:8" ht="13.5" thickBot="1" x14ac:dyDescent="0.25">
      <c r="B39" s="20"/>
      <c r="C39" s="607" t="s">
        <v>342</v>
      </c>
      <c r="D39" s="609">
        <v>240000</v>
      </c>
      <c r="E39" s="609">
        <v>240000</v>
      </c>
      <c r="F39" s="76">
        <f t="shared" si="2"/>
        <v>5</v>
      </c>
      <c r="G39" s="609">
        <v>238618.78064386497</v>
      </c>
      <c r="H39" s="14" t="str">
        <f t="shared" si="1"/>
        <v>Não alterar</v>
      </c>
    </row>
    <row r="40" spans="2:8" ht="13.5" thickBot="1" x14ac:dyDescent="0.25">
      <c r="B40" s="20"/>
      <c r="C40" s="607" t="s">
        <v>343</v>
      </c>
      <c r="D40" s="609">
        <v>240000</v>
      </c>
      <c r="E40" s="609">
        <v>240000</v>
      </c>
      <c r="F40" s="76">
        <f t="shared" si="2"/>
        <v>5</v>
      </c>
      <c r="G40" s="609">
        <v>238702.08797005579</v>
      </c>
      <c r="H40" s="14" t="str">
        <f t="shared" si="1"/>
        <v>Não alterar</v>
      </c>
    </row>
    <row r="41" spans="2:8" ht="13.5" thickBot="1" x14ac:dyDescent="0.25">
      <c r="B41" s="20"/>
      <c r="C41" s="607" t="s">
        <v>344</v>
      </c>
      <c r="D41" s="609">
        <v>240000</v>
      </c>
      <c r="E41" s="609">
        <v>240000</v>
      </c>
      <c r="F41" s="76">
        <f t="shared" si="2"/>
        <v>5</v>
      </c>
      <c r="G41" s="609">
        <v>233975.31395084676</v>
      </c>
      <c r="H41" s="14" t="str">
        <f t="shared" si="1"/>
        <v>Não alterar</v>
      </c>
    </row>
    <row r="42" spans="2:8" ht="13.5" thickBot="1" x14ac:dyDescent="0.25">
      <c r="B42" s="20"/>
      <c r="C42" s="607" t="s">
        <v>345</v>
      </c>
      <c r="D42" s="609">
        <v>240000</v>
      </c>
      <c r="E42" s="609">
        <v>240000</v>
      </c>
      <c r="F42" s="76">
        <f t="shared" si="2"/>
        <v>5</v>
      </c>
      <c r="G42" s="609">
        <v>234025.30867604996</v>
      </c>
      <c r="H42" s="14" t="str">
        <f t="shared" si="1"/>
        <v>Não alterar</v>
      </c>
    </row>
    <row r="43" spans="2:8" ht="13.5" thickBot="1" x14ac:dyDescent="0.25">
      <c r="B43" s="20"/>
      <c r="C43" s="607" t="s">
        <v>346</v>
      </c>
      <c r="D43" s="609">
        <v>240000</v>
      </c>
      <c r="E43" s="609">
        <v>240000</v>
      </c>
      <c r="F43" s="76">
        <f t="shared" si="2"/>
        <v>5</v>
      </c>
      <c r="G43" s="609">
        <v>234025.30867604996</v>
      </c>
      <c r="H43" s="14" t="str">
        <f t="shared" si="1"/>
        <v>Não alterar</v>
      </c>
    </row>
    <row r="44" spans="2:8" ht="13.5" thickBot="1" x14ac:dyDescent="0.25">
      <c r="B44" s="20"/>
      <c r="C44" s="607" t="s">
        <v>347</v>
      </c>
      <c r="D44" s="609">
        <v>240000</v>
      </c>
      <c r="E44" s="609">
        <v>240000</v>
      </c>
      <c r="F44" s="76">
        <f t="shared" si="2"/>
        <v>5</v>
      </c>
      <c r="G44" s="609">
        <v>233975.31395084676</v>
      </c>
      <c r="H44" s="14" t="str">
        <f t="shared" si="1"/>
        <v>Não alterar</v>
      </c>
    </row>
    <row r="45" spans="2:8" ht="13.5" thickBot="1" x14ac:dyDescent="0.25">
      <c r="B45" s="20"/>
      <c r="C45" s="607" t="s">
        <v>348</v>
      </c>
      <c r="D45" s="609">
        <v>240000</v>
      </c>
      <c r="E45" s="609">
        <v>240000</v>
      </c>
      <c r="F45" s="76">
        <f t="shared" si="2"/>
        <v>5</v>
      </c>
      <c r="G45" s="609">
        <v>238702.08797005579</v>
      </c>
      <c r="H45" s="14" t="str">
        <f t="shared" si="1"/>
        <v>Não alterar</v>
      </c>
    </row>
    <row r="46" spans="2:8" ht="13.5" thickBot="1" x14ac:dyDescent="0.25">
      <c r="B46" s="20"/>
      <c r="C46" s="607" t="s">
        <v>349</v>
      </c>
      <c r="D46" s="609">
        <v>240000</v>
      </c>
      <c r="E46" s="609">
        <v>240000</v>
      </c>
      <c r="F46" s="76">
        <f t="shared" si="2"/>
        <v>5</v>
      </c>
      <c r="G46" s="609">
        <v>238618.78064386497</v>
      </c>
      <c r="H46" s="14" t="str">
        <f t="shared" si="1"/>
        <v>Não alterar</v>
      </c>
    </row>
    <row r="47" spans="2:8" ht="13.5" thickBot="1" x14ac:dyDescent="0.25">
      <c r="B47" s="20"/>
      <c r="C47" s="607" t="s">
        <v>350</v>
      </c>
      <c r="D47" s="609">
        <v>240000</v>
      </c>
      <c r="E47" s="609">
        <v>240000</v>
      </c>
      <c r="F47" s="76">
        <f t="shared" si="2"/>
        <v>5</v>
      </c>
      <c r="G47" s="609">
        <v>238618.78064386497</v>
      </c>
      <c r="H47" s="14" t="str">
        <f t="shared" si="1"/>
        <v>Não alterar</v>
      </c>
    </row>
    <row r="48" spans="2:8" ht="13.5" thickBot="1" x14ac:dyDescent="0.25">
      <c r="B48" s="20"/>
      <c r="C48" s="607" t="s">
        <v>351</v>
      </c>
      <c r="D48" s="609">
        <v>240000</v>
      </c>
      <c r="E48" s="609">
        <v>240000</v>
      </c>
      <c r="F48" s="76">
        <f t="shared" si="2"/>
        <v>5</v>
      </c>
      <c r="G48" s="609">
        <v>239913.7736957921</v>
      </c>
      <c r="H48" s="14" t="str">
        <f t="shared" si="1"/>
        <v>Não alterar</v>
      </c>
    </row>
    <row r="49" spans="2:8" ht="13.5" thickBot="1" x14ac:dyDescent="0.25">
      <c r="B49" s="20"/>
      <c r="C49" s="607" t="s">
        <v>352</v>
      </c>
      <c r="D49" s="609">
        <v>240000</v>
      </c>
      <c r="E49" s="609">
        <v>240000</v>
      </c>
      <c r="F49" s="76">
        <f t="shared" si="2"/>
        <v>5</v>
      </c>
      <c r="G49" s="609">
        <v>235163.00589983581</v>
      </c>
      <c r="H49" s="14" t="str">
        <f t="shared" si="1"/>
        <v>Não alterar</v>
      </c>
    </row>
    <row r="50" spans="2:8" ht="13.5" thickBot="1" x14ac:dyDescent="0.25">
      <c r="B50" s="20"/>
      <c r="C50" s="607" t="s">
        <v>353</v>
      </c>
      <c r="D50" s="609">
        <v>240000</v>
      </c>
      <c r="E50" s="609">
        <v>240000</v>
      </c>
      <c r="F50" s="76">
        <f t="shared" si="2"/>
        <v>5</v>
      </c>
      <c r="G50" s="609">
        <v>235213.25440537001</v>
      </c>
      <c r="H50" s="14" t="str">
        <f t="shared" si="1"/>
        <v>Não alterar</v>
      </c>
    </row>
    <row r="51" spans="2:8" ht="13.5" thickBot="1" x14ac:dyDescent="0.25">
      <c r="B51" s="20"/>
      <c r="C51" s="607" t="s">
        <v>354</v>
      </c>
      <c r="D51" s="609">
        <v>240000</v>
      </c>
      <c r="E51" s="609">
        <v>240000</v>
      </c>
      <c r="F51" s="76">
        <f t="shared" si="2"/>
        <v>5</v>
      </c>
      <c r="G51" s="609">
        <v>235213.25440537001</v>
      </c>
      <c r="H51" s="14" t="str">
        <f t="shared" si="1"/>
        <v>Não alterar</v>
      </c>
    </row>
    <row r="52" spans="2:8" ht="13.5" thickBot="1" x14ac:dyDescent="0.25">
      <c r="B52" s="20"/>
      <c r="C52" s="607" t="s">
        <v>355</v>
      </c>
      <c r="D52" s="609">
        <v>240000</v>
      </c>
      <c r="E52" s="609">
        <v>240000</v>
      </c>
      <c r="F52" s="76">
        <f t="shared" si="2"/>
        <v>5</v>
      </c>
      <c r="G52" s="609">
        <v>235163.00589983581</v>
      </c>
      <c r="H52" s="14" t="str">
        <f t="shared" si="1"/>
        <v>Não alterar</v>
      </c>
    </row>
    <row r="53" spans="2:8" ht="13.5" thickBot="1" x14ac:dyDescent="0.25">
      <c r="B53" s="20"/>
      <c r="C53" s="607" t="s">
        <v>356</v>
      </c>
      <c r="D53" s="609">
        <v>240000</v>
      </c>
      <c r="E53" s="609">
        <v>240000</v>
      </c>
      <c r="F53" s="76">
        <f t="shared" si="2"/>
        <v>5</v>
      </c>
      <c r="G53" s="609">
        <v>239913.7736957921</v>
      </c>
      <c r="H53" s="14" t="str">
        <f t="shared" si="1"/>
        <v>Não alterar</v>
      </c>
    </row>
    <row r="54" spans="2:8" ht="13.5" thickBot="1" x14ac:dyDescent="0.25">
      <c r="B54" s="20"/>
      <c r="C54" s="607" t="s">
        <v>357</v>
      </c>
      <c r="D54" s="609">
        <v>240000</v>
      </c>
      <c r="E54" s="609">
        <v>240000</v>
      </c>
      <c r="F54" s="76">
        <f t="shared" si="2"/>
        <v>5</v>
      </c>
      <c r="G54" s="609">
        <v>239830.04348977294</v>
      </c>
      <c r="H54" s="14" t="str">
        <f t="shared" si="1"/>
        <v>Não alterar</v>
      </c>
    </row>
    <row r="55" spans="2:8" ht="13.5" thickBot="1" x14ac:dyDescent="0.25">
      <c r="B55" s="20"/>
      <c r="C55" s="607" t="s">
        <v>358</v>
      </c>
      <c r="D55" s="609">
        <v>240000</v>
      </c>
      <c r="E55" s="609">
        <v>240000</v>
      </c>
      <c r="F55" s="76">
        <f t="shared" si="2"/>
        <v>5</v>
      </c>
      <c r="G55" s="609">
        <v>239830.04348977294</v>
      </c>
      <c r="H55" s="14" t="str">
        <f t="shared" si="1"/>
        <v>Não alterar</v>
      </c>
    </row>
    <row r="56" spans="2:8" ht="13.5" thickBot="1" x14ac:dyDescent="0.25">
      <c r="B56" s="20"/>
      <c r="C56" s="607" t="s">
        <v>359</v>
      </c>
      <c r="D56" s="609">
        <v>240000</v>
      </c>
      <c r="E56" s="609">
        <v>240000</v>
      </c>
      <c r="F56" s="76">
        <f t="shared" si="2"/>
        <v>5</v>
      </c>
      <c r="G56" s="609">
        <v>239913.7736957921</v>
      </c>
      <c r="H56" s="14" t="str">
        <f t="shared" si="1"/>
        <v>Não alterar</v>
      </c>
    </row>
    <row r="57" spans="2:8" ht="13.5" thickBot="1" x14ac:dyDescent="0.25">
      <c r="B57" s="20"/>
      <c r="C57" s="607" t="s">
        <v>360</v>
      </c>
      <c r="D57" s="609">
        <v>240000</v>
      </c>
      <c r="E57" s="609">
        <v>240000</v>
      </c>
      <c r="F57" s="76">
        <f t="shared" si="2"/>
        <v>5</v>
      </c>
      <c r="G57" s="609">
        <v>235163.00589983581</v>
      </c>
      <c r="H57" s="14" t="str">
        <f t="shared" si="1"/>
        <v>Não alterar</v>
      </c>
    </row>
    <row r="58" spans="2:8" ht="13.5" thickBot="1" x14ac:dyDescent="0.25">
      <c r="B58" s="20"/>
      <c r="C58" s="607" t="s">
        <v>361</v>
      </c>
      <c r="D58" s="609">
        <v>240000</v>
      </c>
      <c r="E58" s="609">
        <v>240000</v>
      </c>
      <c r="F58" s="76">
        <f t="shared" si="2"/>
        <v>5</v>
      </c>
      <c r="G58" s="609">
        <v>235213.25440537001</v>
      </c>
      <c r="H58" s="14" t="str">
        <f t="shared" si="1"/>
        <v>Não alterar</v>
      </c>
    </row>
    <row r="59" spans="2:8" ht="13.5" thickBot="1" x14ac:dyDescent="0.25">
      <c r="B59" s="20"/>
      <c r="C59" s="607" t="s">
        <v>362</v>
      </c>
      <c r="D59" s="609">
        <v>240000</v>
      </c>
      <c r="E59" s="609">
        <v>240000</v>
      </c>
      <c r="F59" s="76">
        <f t="shared" si="2"/>
        <v>5</v>
      </c>
      <c r="G59" s="609">
        <v>235213.25440537001</v>
      </c>
      <c r="H59" s="14" t="str">
        <f t="shared" si="1"/>
        <v>Não alterar</v>
      </c>
    </row>
    <row r="60" spans="2:8" ht="13.5" thickBot="1" x14ac:dyDescent="0.25">
      <c r="B60" s="20"/>
      <c r="C60" s="607" t="s">
        <v>363</v>
      </c>
      <c r="D60" s="609">
        <v>240000</v>
      </c>
      <c r="E60" s="609">
        <v>240000</v>
      </c>
      <c r="F60" s="76">
        <f t="shared" si="2"/>
        <v>5</v>
      </c>
      <c r="G60" s="609">
        <v>235163.00589983581</v>
      </c>
      <c r="H60" s="14" t="str">
        <f t="shared" si="1"/>
        <v>Não alterar</v>
      </c>
    </row>
    <row r="61" spans="2:8" ht="13.5" thickBot="1" x14ac:dyDescent="0.25">
      <c r="B61" s="20"/>
      <c r="C61" s="607" t="s">
        <v>364</v>
      </c>
      <c r="D61" s="609">
        <v>240000</v>
      </c>
      <c r="E61" s="609">
        <v>240000</v>
      </c>
      <c r="F61" s="76">
        <f t="shared" si="2"/>
        <v>5</v>
      </c>
      <c r="G61" s="609">
        <v>239913.7736957921</v>
      </c>
      <c r="H61" s="14" t="str">
        <f t="shared" si="1"/>
        <v>Não alterar</v>
      </c>
    </row>
    <row r="62" spans="2:8" ht="13.5" thickBot="1" x14ac:dyDescent="0.25">
      <c r="B62" s="20"/>
      <c r="C62" s="607" t="s">
        <v>365</v>
      </c>
      <c r="D62" s="609">
        <v>240000</v>
      </c>
      <c r="E62" s="609">
        <v>240000</v>
      </c>
      <c r="F62" s="76">
        <f t="shared" si="2"/>
        <v>5</v>
      </c>
      <c r="G62" s="609">
        <v>239830.04348977294</v>
      </c>
      <c r="H62" s="14" t="str">
        <f t="shared" si="1"/>
        <v>Não alterar</v>
      </c>
    </row>
    <row r="63" spans="2:8" ht="13.5" thickBot="1" x14ac:dyDescent="0.25">
      <c r="B63" s="20"/>
      <c r="C63" s="607" t="s">
        <v>366</v>
      </c>
      <c r="D63" s="609">
        <v>240000</v>
      </c>
      <c r="E63" s="609">
        <v>240000</v>
      </c>
      <c r="F63" s="76">
        <f t="shared" si="2"/>
        <v>5</v>
      </c>
      <c r="G63" s="609">
        <v>239830.04348977294</v>
      </c>
      <c r="H63" s="14" t="str">
        <f t="shared" si="1"/>
        <v>Não alterar</v>
      </c>
    </row>
    <row r="64" spans="2:8" ht="13.5" thickBot="1" x14ac:dyDescent="0.25">
      <c r="B64" s="20"/>
      <c r="C64" s="607" t="s">
        <v>367</v>
      </c>
      <c r="D64" s="609">
        <v>240000</v>
      </c>
      <c r="E64" s="609">
        <v>240000</v>
      </c>
      <c r="F64" s="76">
        <f t="shared" si="2"/>
        <v>5</v>
      </c>
      <c r="G64" s="609">
        <v>239913.7736957921</v>
      </c>
      <c r="H64" s="14" t="str">
        <f t="shared" si="1"/>
        <v>Não alterar</v>
      </c>
    </row>
    <row r="65" spans="2:8" ht="13.5" thickBot="1" x14ac:dyDescent="0.25">
      <c r="B65" s="20"/>
      <c r="C65" s="607" t="s">
        <v>368</v>
      </c>
      <c r="D65" s="609">
        <v>240000</v>
      </c>
      <c r="E65" s="609">
        <v>240000</v>
      </c>
      <c r="F65" s="76">
        <f t="shared" si="2"/>
        <v>5</v>
      </c>
      <c r="G65" s="609">
        <v>235163.00589983581</v>
      </c>
      <c r="H65" s="14" t="str">
        <f t="shared" si="1"/>
        <v>Não alterar</v>
      </c>
    </row>
    <row r="66" spans="2:8" ht="13.5" thickBot="1" x14ac:dyDescent="0.25">
      <c r="B66" s="20"/>
      <c r="C66" s="607" t="s">
        <v>369</v>
      </c>
      <c r="D66" s="609">
        <v>240000</v>
      </c>
      <c r="E66" s="609">
        <v>240000</v>
      </c>
      <c r="F66" s="76">
        <f t="shared" si="2"/>
        <v>5</v>
      </c>
      <c r="G66" s="609">
        <v>235213.25440537001</v>
      </c>
      <c r="H66" s="14" t="str">
        <f t="shared" si="1"/>
        <v>Não alterar</v>
      </c>
    </row>
    <row r="67" spans="2:8" ht="13.5" thickBot="1" x14ac:dyDescent="0.25">
      <c r="B67" s="20"/>
      <c r="C67" s="607" t="s">
        <v>370</v>
      </c>
      <c r="D67" s="609">
        <v>240000</v>
      </c>
      <c r="E67" s="609">
        <v>240000</v>
      </c>
      <c r="F67" s="76">
        <f t="shared" si="2"/>
        <v>5</v>
      </c>
      <c r="G67" s="609">
        <v>235213.25440537001</v>
      </c>
      <c r="H67" s="14" t="str">
        <f t="shared" si="1"/>
        <v>Não alterar</v>
      </c>
    </row>
    <row r="68" spans="2:8" ht="13.5" thickBot="1" x14ac:dyDescent="0.25">
      <c r="B68" s="20"/>
      <c r="C68" s="607" t="s">
        <v>371</v>
      </c>
      <c r="D68" s="609">
        <v>240000</v>
      </c>
      <c r="E68" s="609">
        <v>240000</v>
      </c>
      <c r="F68" s="76">
        <f t="shared" si="2"/>
        <v>5</v>
      </c>
      <c r="G68" s="609">
        <v>235163.00589983581</v>
      </c>
      <c r="H68" s="14" t="str">
        <f t="shared" si="1"/>
        <v>Não alterar</v>
      </c>
    </row>
    <row r="69" spans="2:8" ht="13.5" thickBot="1" x14ac:dyDescent="0.25">
      <c r="B69" s="20"/>
      <c r="C69" s="607" t="s">
        <v>372</v>
      </c>
      <c r="D69" s="609">
        <v>240000</v>
      </c>
      <c r="E69" s="609">
        <v>240000</v>
      </c>
      <c r="F69" s="76">
        <f t="shared" si="2"/>
        <v>5</v>
      </c>
      <c r="G69" s="609">
        <v>239913.7736957921</v>
      </c>
      <c r="H69" s="14" t="str">
        <f t="shared" si="1"/>
        <v>Não alterar</v>
      </c>
    </row>
    <row r="70" spans="2:8" ht="13.5" thickBot="1" x14ac:dyDescent="0.25">
      <c r="B70" s="20"/>
      <c r="C70" s="607" t="s">
        <v>373</v>
      </c>
      <c r="D70" s="609">
        <v>240000</v>
      </c>
      <c r="E70" s="609">
        <v>240000</v>
      </c>
      <c r="F70" s="76">
        <f t="shared" si="2"/>
        <v>5</v>
      </c>
      <c r="G70" s="609">
        <v>239830.04348977294</v>
      </c>
      <c r="H70" s="14" t="str">
        <f>IF(D70&gt;=$J$8,$I$8,"Não alterar")</f>
        <v>Não alterar</v>
      </c>
    </row>
    <row r="71" spans="2:8" ht="13.5" thickBot="1" x14ac:dyDescent="0.25">
      <c r="B71" s="20"/>
      <c r="C71" s="607" t="s">
        <v>374</v>
      </c>
      <c r="D71" s="609">
        <v>240000</v>
      </c>
      <c r="E71" s="609">
        <v>240000</v>
      </c>
      <c r="F71" s="76">
        <f t="shared" si="2"/>
        <v>5</v>
      </c>
      <c r="G71" s="609">
        <v>239830.04348977294</v>
      </c>
      <c r="H71" s="14" t="str">
        <f t="shared" si="1"/>
        <v>Não alterar</v>
      </c>
    </row>
    <row r="72" spans="2:8" ht="13.5" thickBot="1" x14ac:dyDescent="0.25">
      <c r="B72" s="20"/>
      <c r="C72" s="607" t="s">
        <v>375</v>
      </c>
      <c r="D72" s="609">
        <f t="shared" si="0"/>
        <v>219040</v>
      </c>
      <c r="E72" s="609">
        <v>216000</v>
      </c>
      <c r="F72" s="76">
        <f t="shared" si="2"/>
        <v>5</v>
      </c>
      <c r="G72" s="609">
        <v>207080.58349440698</v>
      </c>
      <c r="H72" s="14" t="str">
        <f t="shared" si="1"/>
        <v>Não alterar</v>
      </c>
    </row>
    <row r="73" spans="2:8" ht="13.5" thickBot="1" x14ac:dyDescent="0.25">
      <c r="B73" s="20"/>
      <c r="C73" s="607" t="s">
        <v>376</v>
      </c>
      <c r="D73" s="609">
        <f t="shared" si="0"/>
        <v>214220</v>
      </c>
      <c r="E73" s="609">
        <v>216000</v>
      </c>
      <c r="F73" s="76">
        <f t="shared" si="2"/>
        <v>5</v>
      </c>
      <c r="G73" s="609">
        <v>202521.7659124287</v>
      </c>
      <c r="H73" s="14" t="str">
        <f t="shared" si="1"/>
        <v>Não alterar</v>
      </c>
    </row>
    <row r="74" spans="2:8" ht="13.5" thickBot="1" x14ac:dyDescent="0.25">
      <c r="B74" s="20"/>
      <c r="C74" s="607" t="s">
        <v>377</v>
      </c>
      <c r="D74" s="609">
        <f t="shared" ref="D74:D133" si="3">ROUND((G74*$J$1),-1)</f>
        <v>214240</v>
      </c>
      <c r="E74" s="609">
        <v>220000</v>
      </c>
      <c r="F74" s="76">
        <f t="shared" si="2"/>
        <v>5</v>
      </c>
      <c r="G74" s="609">
        <v>202543.83274141492</v>
      </c>
      <c r="H74" s="14" t="str">
        <f t="shared" ref="H74:H134" si="4">IF(D74&gt;=$J$8,$I$8,"Não alterar")</f>
        <v>Não alterar</v>
      </c>
    </row>
    <row r="75" spans="2:8" ht="13.5" thickBot="1" x14ac:dyDescent="0.25">
      <c r="B75" s="20"/>
      <c r="C75" s="607" t="s">
        <v>378</v>
      </c>
      <c r="D75" s="609">
        <f t="shared" si="3"/>
        <v>214240</v>
      </c>
      <c r="E75" s="609">
        <v>220000</v>
      </c>
      <c r="F75" s="76">
        <f t="shared" ref="F75:F134" si="5">F74</f>
        <v>5</v>
      </c>
      <c r="G75" s="609">
        <v>202543.83274141492</v>
      </c>
      <c r="H75" s="14" t="str">
        <f t="shared" si="4"/>
        <v>Não alterar</v>
      </c>
    </row>
    <row r="76" spans="2:8" ht="13.5" thickBot="1" x14ac:dyDescent="0.25">
      <c r="B76" s="20"/>
      <c r="C76" s="607" t="s">
        <v>379</v>
      </c>
      <c r="D76" s="609">
        <f t="shared" si="3"/>
        <v>214220</v>
      </c>
      <c r="E76" s="609">
        <v>216000</v>
      </c>
      <c r="F76" s="76">
        <f t="shared" si="5"/>
        <v>5</v>
      </c>
      <c r="G76" s="609">
        <v>202521.7659124287</v>
      </c>
      <c r="H76" s="14" t="str">
        <f t="shared" si="4"/>
        <v>Não alterar</v>
      </c>
    </row>
    <row r="77" spans="2:8" ht="13.5" thickBot="1" x14ac:dyDescent="0.25">
      <c r="B77" s="20"/>
      <c r="C77" s="607" t="s">
        <v>461</v>
      </c>
      <c r="D77" s="609">
        <f t="shared" si="3"/>
        <v>219040</v>
      </c>
      <c r="E77" s="609">
        <v>216000</v>
      </c>
      <c r="F77" s="76">
        <f t="shared" si="5"/>
        <v>5</v>
      </c>
      <c r="G77" s="609">
        <v>207080.58349440698</v>
      </c>
      <c r="H77" s="14" t="str">
        <f t="shared" si="4"/>
        <v>Não alterar</v>
      </c>
    </row>
    <row r="78" spans="2:8" ht="13.5" thickBot="1" x14ac:dyDescent="0.25">
      <c r="B78" s="20"/>
      <c r="C78" s="607" t="s">
        <v>462</v>
      </c>
      <c r="D78" s="609">
        <f t="shared" si="3"/>
        <v>218930</v>
      </c>
      <c r="E78" s="609">
        <v>220000</v>
      </c>
      <c r="F78" s="76">
        <f t="shared" si="5"/>
        <v>5</v>
      </c>
      <c r="G78" s="609">
        <v>206974.08489311469</v>
      </c>
      <c r="H78" s="14" t="str">
        <f t="shared" si="4"/>
        <v>Não alterar</v>
      </c>
    </row>
    <row r="79" spans="2:8" ht="13.5" thickBot="1" x14ac:dyDescent="0.25">
      <c r="B79" s="20"/>
      <c r="C79" s="607" t="s">
        <v>380</v>
      </c>
      <c r="D79" s="609">
        <f t="shared" si="3"/>
        <v>226690</v>
      </c>
      <c r="E79" s="609">
        <v>220000</v>
      </c>
      <c r="F79" s="76">
        <f t="shared" si="5"/>
        <v>5</v>
      </c>
      <c r="G79" s="609">
        <v>214314.70718370401</v>
      </c>
      <c r="H79" s="14" t="str">
        <f t="shared" si="4"/>
        <v>Não alterar</v>
      </c>
    </row>
    <row r="80" spans="2:8" ht="13.5" thickBot="1" x14ac:dyDescent="0.25">
      <c r="B80" s="20"/>
      <c r="C80" s="607" t="s">
        <v>381</v>
      </c>
      <c r="D80" s="609">
        <f t="shared" si="3"/>
        <v>221720</v>
      </c>
      <c r="E80" s="609">
        <v>220000</v>
      </c>
      <c r="F80" s="76">
        <f t="shared" si="5"/>
        <v>5</v>
      </c>
      <c r="G80" s="609">
        <v>209611.92694124221</v>
      </c>
      <c r="H80" s="14" t="str">
        <f t="shared" si="4"/>
        <v>Não alterar</v>
      </c>
    </row>
    <row r="81" spans="2:8" ht="13.5" thickBot="1" x14ac:dyDescent="0.25">
      <c r="B81" s="20"/>
      <c r="C81" s="607" t="s">
        <v>382</v>
      </c>
      <c r="D81" s="609">
        <f t="shared" si="3"/>
        <v>221740</v>
      </c>
      <c r="E81" s="609">
        <v>220000</v>
      </c>
      <c r="F81" s="76">
        <f t="shared" si="5"/>
        <v>5</v>
      </c>
      <c r="G81" s="609">
        <v>209634.69061745959</v>
      </c>
      <c r="H81" s="14" t="str">
        <f t="shared" si="4"/>
        <v>Não alterar</v>
      </c>
    </row>
    <row r="82" spans="2:8" ht="13.5" thickBot="1" x14ac:dyDescent="0.25">
      <c r="B82" s="20"/>
      <c r="C82" s="607" t="s">
        <v>383</v>
      </c>
      <c r="D82" s="609">
        <f t="shared" si="3"/>
        <v>221740</v>
      </c>
      <c r="E82" s="609">
        <v>220000</v>
      </c>
      <c r="F82" s="76">
        <f t="shared" si="5"/>
        <v>5</v>
      </c>
      <c r="G82" s="609">
        <v>209634.69061745959</v>
      </c>
      <c r="H82" s="14" t="str">
        <f t="shared" si="4"/>
        <v>Não alterar</v>
      </c>
    </row>
    <row r="83" spans="2:8" ht="13.5" thickBot="1" x14ac:dyDescent="0.25">
      <c r="B83" s="20"/>
      <c r="C83" s="607" t="s">
        <v>384</v>
      </c>
      <c r="D83" s="609">
        <f t="shared" si="3"/>
        <v>221720</v>
      </c>
      <c r="E83" s="609">
        <v>220000</v>
      </c>
      <c r="F83" s="76">
        <f t="shared" si="5"/>
        <v>5</v>
      </c>
      <c r="G83" s="609">
        <v>209611.92694124221</v>
      </c>
      <c r="H83" s="14" t="str">
        <f t="shared" si="4"/>
        <v>Não alterar</v>
      </c>
    </row>
    <row r="84" spans="2:8" ht="13.5" thickBot="1" x14ac:dyDescent="0.25">
      <c r="B84" s="20"/>
      <c r="C84" s="607" t="s">
        <v>385</v>
      </c>
      <c r="D84" s="609">
        <f t="shared" si="3"/>
        <v>226690</v>
      </c>
      <c r="E84" s="609">
        <v>220000</v>
      </c>
      <c r="F84" s="76">
        <f t="shared" si="5"/>
        <v>5</v>
      </c>
      <c r="G84" s="609">
        <v>214314.70718370401</v>
      </c>
      <c r="H84" s="14" t="str">
        <f t="shared" si="4"/>
        <v>Não alterar</v>
      </c>
    </row>
    <row r="85" spans="2:8" ht="13.5" thickBot="1" x14ac:dyDescent="0.25">
      <c r="B85" s="20"/>
      <c r="C85" s="607" t="s">
        <v>386</v>
      </c>
      <c r="D85" s="609">
        <f t="shared" si="3"/>
        <v>226570</v>
      </c>
      <c r="E85" s="609">
        <v>220000</v>
      </c>
      <c r="F85" s="76">
        <f t="shared" si="5"/>
        <v>5</v>
      </c>
      <c r="G85" s="609">
        <v>214204.84546868675</v>
      </c>
      <c r="H85" s="14" t="str">
        <f t="shared" si="4"/>
        <v>Não alterar</v>
      </c>
    </row>
    <row r="86" spans="2:8" ht="13.5" thickBot="1" x14ac:dyDescent="0.25">
      <c r="B86" s="20"/>
      <c r="C86" s="607" t="s">
        <v>387</v>
      </c>
      <c r="D86" s="609">
        <f t="shared" si="3"/>
        <v>226570</v>
      </c>
      <c r="E86" s="609">
        <v>220000</v>
      </c>
      <c r="F86" s="76">
        <f t="shared" si="5"/>
        <v>5</v>
      </c>
      <c r="G86" s="609">
        <v>214204.84546868675</v>
      </c>
      <c r="H86" s="14" t="str">
        <f t="shared" si="4"/>
        <v>Não alterar</v>
      </c>
    </row>
    <row r="87" spans="2:8" ht="13.5" thickBot="1" x14ac:dyDescent="0.25">
      <c r="B87" s="20"/>
      <c r="C87" s="607" t="s">
        <v>388</v>
      </c>
      <c r="D87" s="609">
        <f t="shared" si="3"/>
        <v>226690</v>
      </c>
      <c r="E87" s="609">
        <v>220000</v>
      </c>
      <c r="F87" s="76">
        <f t="shared" si="5"/>
        <v>5</v>
      </c>
      <c r="G87" s="609">
        <v>214314.70718370401</v>
      </c>
      <c r="H87" s="14" t="str">
        <f t="shared" si="4"/>
        <v>Não alterar</v>
      </c>
    </row>
    <row r="88" spans="2:8" ht="13.5" thickBot="1" x14ac:dyDescent="0.25">
      <c r="B88" s="20"/>
      <c r="C88" s="607" t="s">
        <v>389</v>
      </c>
      <c r="D88" s="609">
        <f t="shared" si="3"/>
        <v>221720</v>
      </c>
      <c r="E88" s="609">
        <v>220000</v>
      </c>
      <c r="F88" s="76">
        <f t="shared" si="5"/>
        <v>5</v>
      </c>
      <c r="G88" s="609">
        <v>209611.92694124221</v>
      </c>
      <c r="H88" s="14" t="str">
        <f t="shared" si="4"/>
        <v>Não alterar</v>
      </c>
    </row>
    <row r="89" spans="2:8" ht="13.5" thickBot="1" x14ac:dyDescent="0.25">
      <c r="B89" s="20"/>
      <c r="C89" s="607" t="s">
        <v>390</v>
      </c>
      <c r="D89" s="609">
        <f t="shared" si="3"/>
        <v>221740</v>
      </c>
      <c r="E89" s="609">
        <v>220000</v>
      </c>
      <c r="F89" s="76">
        <f t="shared" si="5"/>
        <v>5</v>
      </c>
      <c r="G89" s="609">
        <v>209634.69061745959</v>
      </c>
      <c r="H89" s="14" t="str">
        <f t="shared" si="4"/>
        <v>Não alterar</v>
      </c>
    </row>
    <row r="90" spans="2:8" ht="13.5" thickBot="1" x14ac:dyDescent="0.25">
      <c r="B90" s="20"/>
      <c r="C90" s="607" t="s">
        <v>391</v>
      </c>
      <c r="D90" s="609">
        <f t="shared" si="3"/>
        <v>221740</v>
      </c>
      <c r="E90" s="609">
        <v>220000</v>
      </c>
      <c r="F90" s="76">
        <f t="shared" si="5"/>
        <v>5</v>
      </c>
      <c r="G90" s="609">
        <v>209634.69061745959</v>
      </c>
      <c r="H90" s="14" t="str">
        <f t="shared" si="4"/>
        <v>Não alterar</v>
      </c>
    </row>
    <row r="91" spans="2:8" ht="13.5" thickBot="1" x14ac:dyDescent="0.25">
      <c r="B91" s="20"/>
      <c r="C91" s="607" t="s">
        <v>392</v>
      </c>
      <c r="D91" s="609">
        <f t="shared" si="3"/>
        <v>221720</v>
      </c>
      <c r="E91" s="609">
        <v>220000</v>
      </c>
      <c r="F91" s="76">
        <f t="shared" si="5"/>
        <v>5</v>
      </c>
      <c r="G91" s="609">
        <v>209611.92694124221</v>
      </c>
      <c r="H91" s="14" t="str">
        <f t="shared" si="4"/>
        <v>Não alterar</v>
      </c>
    </row>
    <row r="92" spans="2:8" ht="13.5" thickBot="1" x14ac:dyDescent="0.25">
      <c r="B92" s="20"/>
      <c r="C92" s="607" t="s">
        <v>393</v>
      </c>
      <c r="D92" s="609">
        <f t="shared" si="3"/>
        <v>226690</v>
      </c>
      <c r="E92" s="609">
        <v>220000</v>
      </c>
      <c r="F92" s="76">
        <f t="shared" si="5"/>
        <v>5</v>
      </c>
      <c r="G92" s="609">
        <v>214314.70718370401</v>
      </c>
      <c r="H92" s="14" t="str">
        <f t="shared" si="4"/>
        <v>Não alterar</v>
      </c>
    </row>
    <row r="93" spans="2:8" ht="13.5" thickBot="1" x14ac:dyDescent="0.25">
      <c r="B93" s="20"/>
      <c r="C93" s="607" t="s">
        <v>394</v>
      </c>
      <c r="D93" s="609">
        <f t="shared" si="3"/>
        <v>226570</v>
      </c>
      <c r="E93" s="609">
        <v>220000</v>
      </c>
      <c r="F93" s="76">
        <f t="shared" si="5"/>
        <v>5</v>
      </c>
      <c r="G93" s="609">
        <v>214204.84546868675</v>
      </c>
      <c r="H93" s="14" t="str">
        <f t="shared" si="4"/>
        <v>Não alterar</v>
      </c>
    </row>
    <row r="94" spans="2:8" ht="13.5" thickBot="1" x14ac:dyDescent="0.25">
      <c r="B94" s="20"/>
      <c r="C94" s="607" t="s">
        <v>395</v>
      </c>
      <c r="D94" s="609">
        <f t="shared" si="3"/>
        <v>226570</v>
      </c>
      <c r="E94" s="609">
        <v>220000</v>
      </c>
      <c r="F94" s="76">
        <f t="shared" si="5"/>
        <v>5</v>
      </c>
      <c r="G94" s="609">
        <v>214204.84546868675</v>
      </c>
      <c r="H94" s="14" t="str">
        <f t="shared" si="4"/>
        <v>Não alterar</v>
      </c>
    </row>
    <row r="95" spans="2:8" ht="13.5" thickBot="1" x14ac:dyDescent="0.25">
      <c r="B95" s="20"/>
      <c r="C95" s="607" t="s">
        <v>396</v>
      </c>
      <c r="D95" s="609">
        <v>240000</v>
      </c>
      <c r="E95" s="609">
        <v>240000</v>
      </c>
      <c r="F95" s="76">
        <f t="shared" si="5"/>
        <v>5</v>
      </c>
      <c r="G95" s="609">
        <v>237520.39446525354</v>
      </c>
      <c r="H95" s="14" t="str">
        <f t="shared" si="4"/>
        <v>Não alterar</v>
      </c>
    </row>
    <row r="96" spans="2:8" ht="13.5" thickBot="1" x14ac:dyDescent="0.25">
      <c r="B96" s="20"/>
      <c r="C96" s="607" t="s">
        <v>397</v>
      </c>
      <c r="D96" s="609">
        <v>240000</v>
      </c>
      <c r="E96" s="609">
        <v>240000</v>
      </c>
      <c r="F96" s="76">
        <f t="shared" si="5"/>
        <v>5</v>
      </c>
      <c r="G96" s="609">
        <v>232793.62044604449</v>
      </c>
      <c r="H96" s="14" t="str">
        <f t="shared" si="4"/>
        <v>Não alterar</v>
      </c>
    </row>
    <row r="97" spans="2:8" ht="13.5" thickBot="1" x14ac:dyDescent="0.25">
      <c r="B97" s="20"/>
      <c r="C97" s="607" t="s">
        <v>398</v>
      </c>
      <c r="D97" s="609">
        <v>240000</v>
      </c>
      <c r="E97" s="609">
        <v>240000</v>
      </c>
      <c r="F97" s="76">
        <f t="shared" si="5"/>
        <v>5</v>
      </c>
      <c r="G97" s="609">
        <v>232816.50026346705</v>
      </c>
      <c r="H97" s="14" t="str">
        <f t="shared" si="4"/>
        <v>Não alterar</v>
      </c>
    </row>
    <row r="98" spans="2:8" ht="13.5" thickBot="1" x14ac:dyDescent="0.25">
      <c r="B98" s="20"/>
      <c r="C98" s="607" t="s">
        <v>399</v>
      </c>
      <c r="D98" s="609">
        <v>240000</v>
      </c>
      <c r="E98" s="609">
        <v>240000</v>
      </c>
      <c r="F98" s="76">
        <f t="shared" si="5"/>
        <v>5</v>
      </c>
      <c r="G98" s="609">
        <v>232816.50026346705</v>
      </c>
      <c r="H98" s="14" t="str">
        <f t="shared" si="4"/>
        <v>Não alterar</v>
      </c>
    </row>
    <row r="99" spans="2:8" ht="13.5" thickBot="1" x14ac:dyDescent="0.25">
      <c r="B99" s="20"/>
      <c r="C99" s="607" t="s">
        <v>400</v>
      </c>
      <c r="D99" s="609">
        <v>240000</v>
      </c>
      <c r="E99" s="609">
        <v>240000</v>
      </c>
      <c r="F99" s="76">
        <f t="shared" si="5"/>
        <v>5</v>
      </c>
      <c r="G99" s="609">
        <v>232793.62044604449</v>
      </c>
      <c r="H99" s="14" t="str">
        <f t="shared" si="4"/>
        <v>Não alterar</v>
      </c>
    </row>
    <row r="100" spans="2:8" ht="13.5" thickBot="1" x14ac:dyDescent="0.25">
      <c r="B100" s="20"/>
      <c r="C100" s="607" t="s">
        <v>401</v>
      </c>
      <c r="D100" s="609">
        <v>240000</v>
      </c>
      <c r="E100" s="609">
        <v>240000</v>
      </c>
      <c r="F100" s="76">
        <f t="shared" si="5"/>
        <v>5</v>
      </c>
      <c r="G100" s="609">
        <v>237520.39446525354</v>
      </c>
      <c r="H100" s="14" t="str">
        <f t="shared" si="4"/>
        <v>Não alterar</v>
      </c>
    </row>
    <row r="101" spans="2:8" ht="13.5" thickBot="1" x14ac:dyDescent="0.25">
      <c r="B101" s="20"/>
      <c r="C101" s="607" t="s">
        <v>402</v>
      </c>
      <c r="D101" s="609">
        <v>240000</v>
      </c>
      <c r="E101" s="609">
        <v>240000</v>
      </c>
      <c r="F101" s="76">
        <f t="shared" si="5"/>
        <v>5</v>
      </c>
      <c r="G101" s="609">
        <v>237409.9722312821</v>
      </c>
      <c r="H101" s="14" t="str">
        <f t="shared" si="4"/>
        <v>Não alterar</v>
      </c>
    </row>
    <row r="102" spans="2:8" ht="13.5" thickBot="1" x14ac:dyDescent="0.25">
      <c r="B102" s="20"/>
      <c r="C102" s="607" t="s">
        <v>403</v>
      </c>
      <c r="D102" s="609">
        <v>240000</v>
      </c>
      <c r="E102" s="609">
        <v>240000</v>
      </c>
      <c r="F102" s="76">
        <f t="shared" si="5"/>
        <v>5</v>
      </c>
      <c r="G102" s="609">
        <v>237409.9722312821</v>
      </c>
      <c r="H102" s="14" t="str">
        <f t="shared" si="4"/>
        <v>Não alterar</v>
      </c>
    </row>
    <row r="103" spans="2:8" ht="13.5" thickBot="1" x14ac:dyDescent="0.25">
      <c r="B103" s="20"/>
      <c r="C103" s="607" t="s">
        <v>404</v>
      </c>
      <c r="D103" s="609">
        <v>240000</v>
      </c>
      <c r="E103" s="609">
        <v>240000</v>
      </c>
      <c r="F103" s="76">
        <f t="shared" si="5"/>
        <v>5</v>
      </c>
      <c r="G103" s="609">
        <v>237520.39446525354</v>
      </c>
      <c r="H103" s="14" t="str">
        <f t="shared" si="4"/>
        <v>Não alterar</v>
      </c>
    </row>
    <row r="104" spans="2:8" ht="13.5" thickBot="1" x14ac:dyDescent="0.25">
      <c r="B104" s="20"/>
      <c r="C104" s="607" t="s">
        <v>405</v>
      </c>
      <c r="D104" s="609">
        <v>240000</v>
      </c>
      <c r="E104" s="609">
        <v>240000</v>
      </c>
      <c r="F104" s="76">
        <f t="shared" si="5"/>
        <v>5</v>
      </c>
      <c r="G104" s="609">
        <v>232793.62044604449</v>
      </c>
      <c r="H104" s="14" t="str">
        <f t="shared" si="4"/>
        <v>Não alterar</v>
      </c>
    </row>
    <row r="105" spans="2:8" ht="13.5" thickBot="1" x14ac:dyDescent="0.25">
      <c r="B105" s="20"/>
      <c r="C105" s="607" t="s">
        <v>406</v>
      </c>
      <c r="D105" s="609">
        <v>240000</v>
      </c>
      <c r="E105" s="609">
        <v>240000</v>
      </c>
      <c r="F105" s="76">
        <f t="shared" si="5"/>
        <v>5</v>
      </c>
      <c r="G105" s="609">
        <v>232816.50026346705</v>
      </c>
      <c r="H105" s="14" t="str">
        <f t="shared" si="4"/>
        <v>Não alterar</v>
      </c>
    </row>
    <row r="106" spans="2:8" ht="13.5" thickBot="1" x14ac:dyDescent="0.25">
      <c r="B106" s="20"/>
      <c r="C106" s="607" t="s">
        <v>407</v>
      </c>
      <c r="D106" s="609">
        <v>240000</v>
      </c>
      <c r="E106" s="609">
        <v>240000</v>
      </c>
      <c r="F106" s="76">
        <f t="shared" si="5"/>
        <v>5</v>
      </c>
      <c r="G106" s="609">
        <v>232816.50026346705</v>
      </c>
      <c r="H106" s="14" t="str">
        <f t="shared" si="4"/>
        <v>Não alterar</v>
      </c>
    </row>
    <row r="107" spans="2:8" ht="13.5" thickBot="1" x14ac:dyDescent="0.25">
      <c r="B107" s="20"/>
      <c r="C107" s="607" t="s">
        <v>408</v>
      </c>
      <c r="D107" s="609">
        <v>240000</v>
      </c>
      <c r="E107" s="609">
        <v>240000</v>
      </c>
      <c r="F107" s="76">
        <f t="shared" si="5"/>
        <v>5</v>
      </c>
      <c r="G107" s="609">
        <v>232793.62044604449</v>
      </c>
      <c r="H107" s="14" t="str">
        <f t="shared" si="4"/>
        <v>Não alterar</v>
      </c>
    </row>
    <row r="108" spans="2:8" ht="13.5" thickBot="1" x14ac:dyDescent="0.25">
      <c r="B108" s="20"/>
      <c r="C108" s="607" t="s">
        <v>409</v>
      </c>
      <c r="D108" s="609">
        <v>240000</v>
      </c>
      <c r="E108" s="609">
        <v>240000</v>
      </c>
      <c r="F108" s="76">
        <f t="shared" si="5"/>
        <v>5</v>
      </c>
      <c r="G108" s="609">
        <v>237520.39446525354</v>
      </c>
      <c r="H108" s="14" t="str">
        <f t="shared" si="4"/>
        <v>Não alterar</v>
      </c>
    </row>
    <row r="109" spans="2:8" ht="13.5" thickBot="1" x14ac:dyDescent="0.25">
      <c r="B109" s="20"/>
      <c r="C109" s="607" t="s">
        <v>410</v>
      </c>
      <c r="D109" s="609">
        <v>240000</v>
      </c>
      <c r="E109" s="609">
        <v>240000</v>
      </c>
      <c r="F109" s="76">
        <f t="shared" si="5"/>
        <v>5</v>
      </c>
      <c r="G109" s="609">
        <v>237409.9722312821</v>
      </c>
      <c r="H109" s="14" t="str">
        <f t="shared" si="4"/>
        <v>Não alterar</v>
      </c>
    </row>
    <row r="110" spans="2:8" ht="13.5" thickBot="1" x14ac:dyDescent="0.25">
      <c r="B110" s="20"/>
      <c r="C110" s="607" t="s">
        <v>411</v>
      </c>
      <c r="D110" s="609">
        <v>240000</v>
      </c>
      <c r="E110" s="609">
        <v>240000</v>
      </c>
      <c r="F110" s="76">
        <f t="shared" si="5"/>
        <v>5</v>
      </c>
      <c r="G110" s="609">
        <v>237409.9722312821</v>
      </c>
      <c r="H110" s="14" t="str">
        <f t="shared" si="4"/>
        <v>Não alterar</v>
      </c>
    </row>
    <row r="111" spans="2:8" ht="13.5" thickBot="1" x14ac:dyDescent="0.25">
      <c r="B111" s="20"/>
      <c r="C111" s="607" t="s">
        <v>412</v>
      </c>
      <c r="D111" s="609">
        <v>240000</v>
      </c>
      <c r="E111" s="609">
        <v>240000</v>
      </c>
      <c r="F111" s="76">
        <f t="shared" si="5"/>
        <v>5</v>
      </c>
      <c r="G111" s="609">
        <v>238726.08174680304</v>
      </c>
      <c r="H111" s="14" t="str">
        <f t="shared" si="4"/>
        <v>Não alterar</v>
      </c>
    </row>
    <row r="112" spans="2:8" ht="13.5" thickBot="1" x14ac:dyDescent="0.25">
      <c r="B112" s="20"/>
      <c r="C112" s="607" t="s">
        <v>413</v>
      </c>
      <c r="D112" s="609">
        <v>240000</v>
      </c>
      <c r="E112" s="609">
        <v>240000</v>
      </c>
      <c r="F112" s="76">
        <f t="shared" si="5"/>
        <v>5</v>
      </c>
      <c r="G112" s="609">
        <v>233975.31395084676</v>
      </c>
      <c r="H112" s="14" t="str">
        <f t="shared" si="4"/>
        <v>Não alterar</v>
      </c>
    </row>
    <row r="113" spans="2:8" ht="13.5" thickBot="1" x14ac:dyDescent="0.25">
      <c r="B113" s="20"/>
      <c r="C113" s="607" t="s">
        <v>414</v>
      </c>
      <c r="D113" s="609">
        <v>240000</v>
      </c>
      <c r="E113" s="609">
        <v>240000</v>
      </c>
      <c r="F113" s="76">
        <f t="shared" si="5"/>
        <v>5</v>
      </c>
      <c r="G113" s="609">
        <v>233998.30990947451</v>
      </c>
      <c r="H113" s="14" t="str">
        <f t="shared" si="4"/>
        <v>Não alterar</v>
      </c>
    </row>
    <row r="114" spans="2:8" ht="13.5" thickBot="1" x14ac:dyDescent="0.25">
      <c r="B114" s="20"/>
      <c r="C114" s="607" t="s">
        <v>415</v>
      </c>
      <c r="D114" s="609">
        <v>240000</v>
      </c>
      <c r="E114" s="609">
        <v>240000</v>
      </c>
      <c r="F114" s="76">
        <f t="shared" si="5"/>
        <v>5</v>
      </c>
      <c r="G114" s="609">
        <v>233998.30990947451</v>
      </c>
      <c r="H114" s="14" t="str">
        <f t="shared" si="4"/>
        <v>Não alterar</v>
      </c>
    </row>
    <row r="115" spans="2:8" ht="13.5" thickBot="1" x14ac:dyDescent="0.25">
      <c r="B115" s="20"/>
      <c r="C115" s="607" t="s">
        <v>416</v>
      </c>
      <c r="D115" s="609">
        <v>240000</v>
      </c>
      <c r="E115" s="609">
        <v>240000</v>
      </c>
      <c r="F115" s="76">
        <f t="shared" si="5"/>
        <v>5</v>
      </c>
      <c r="G115" s="609">
        <v>233975.31395084676</v>
      </c>
      <c r="H115" s="14" t="str">
        <f t="shared" si="4"/>
        <v>Não alterar</v>
      </c>
    </row>
    <row r="116" spans="2:8" ht="13.5" thickBot="1" x14ac:dyDescent="0.25">
      <c r="B116" s="20"/>
      <c r="C116" s="607" t="s">
        <v>417</v>
      </c>
      <c r="D116" s="609">
        <v>240000</v>
      </c>
      <c r="E116" s="609">
        <v>240000</v>
      </c>
      <c r="F116" s="76">
        <f t="shared" si="5"/>
        <v>5</v>
      </c>
      <c r="G116" s="609">
        <v>238726.08174680304</v>
      </c>
      <c r="H116" s="14" t="str">
        <f t="shared" si="4"/>
        <v>Não alterar</v>
      </c>
    </row>
    <row r="117" spans="2:8" ht="13.5" thickBot="1" x14ac:dyDescent="0.25">
      <c r="B117" s="20"/>
      <c r="C117" s="607" t="s">
        <v>418</v>
      </c>
      <c r="D117" s="609">
        <v>240000</v>
      </c>
      <c r="E117" s="609">
        <v>240000</v>
      </c>
      <c r="F117" s="76">
        <f t="shared" si="5"/>
        <v>5</v>
      </c>
      <c r="G117" s="609">
        <v>238615.09899387741</v>
      </c>
      <c r="H117" s="14" t="str">
        <f t="shared" si="4"/>
        <v>Não alterar</v>
      </c>
    </row>
    <row r="118" spans="2:8" ht="13.5" thickBot="1" x14ac:dyDescent="0.25">
      <c r="B118" s="20"/>
      <c r="C118" s="607" t="s">
        <v>419</v>
      </c>
      <c r="D118" s="609">
        <v>240000</v>
      </c>
      <c r="E118" s="609">
        <v>240000</v>
      </c>
      <c r="F118" s="76">
        <f t="shared" si="5"/>
        <v>5</v>
      </c>
      <c r="G118" s="609">
        <v>238615.09899387741</v>
      </c>
      <c r="H118" s="14" t="str">
        <f t="shared" si="4"/>
        <v>Não alterar</v>
      </c>
    </row>
    <row r="119" spans="2:8" ht="13.5" thickBot="1" x14ac:dyDescent="0.25">
      <c r="B119" s="20"/>
      <c r="C119" s="607" t="s">
        <v>420</v>
      </c>
      <c r="D119" s="609">
        <v>240000</v>
      </c>
      <c r="E119" s="609">
        <v>240000</v>
      </c>
      <c r="F119" s="76">
        <f t="shared" si="5"/>
        <v>5</v>
      </c>
      <c r="G119" s="609">
        <v>238726.08174680304</v>
      </c>
      <c r="H119" s="14" t="str">
        <f t="shared" si="4"/>
        <v>Não alterar</v>
      </c>
    </row>
    <row r="120" spans="2:8" ht="13.5" thickBot="1" x14ac:dyDescent="0.25">
      <c r="B120" s="20"/>
      <c r="C120" s="607" t="s">
        <v>421</v>
      </c>
      <c r="D120" s="609">
        <v>240000</v>
      </c>
      <c r="E120" s="609">
        <v>240000</v>
      </c>
      <c r="F120" s="76">
        <f t="shared" si="5"/>
        <v>5</v>
      </c>
      <c r="G120" s="609">
        <v>233975.31395084676</v>
      </c>
      <c r="H120" s="14" t="str">
        <f t="shared" si="4"/>
        <v>Não alterar</v>
      </c>
    </row>
    <row r="121" spans="2:8" ht="13.5" thickBot="1" x14ac:dyDescent="0.25">
      <c r="B121" s="20"/>
      <c r="C121" s="607" t="s">
        <v>422</v>
      </c>
      <c r="D121" s="609">
        <v>240000</v>
      </c>
      <c r="E121" s="609">
        <v>240000</v>
      </c>
      <c r="F121" s="76">
        <f t="shared" si="5"/>
        <v>5</v>
      </c>
      <c r="G121" s="609">
        <v>233998.30990947451</v>
      </c>
      <c r="H121" s="14" t="str">
        <f t="shared" si="4"/>
        <v>Não alterar</v>
      </c>
    </row>
    <row r="122" spans="2:8" ht="13.5" thickBot="1" x14ac:dyDescent="0.25">
      <c r="B122" s="20"/>
      <c r="C122" s="607" t="s">
        <v>423</v>
      </c>
      <c r="D122" s="609">
        <v>240000</v>
      </c>
      <c r="E122" s="609">
        <v>240000</v>
      </c>
      <c r="F122" s="76">
        <f t="shared" si="5"/>
        <v>5</v>
      </c>
      <c r="G122" s="609">
        <v>233998.30990947451</v>
      </c>
      <c r="H122" s="14" t="str">
        <f t="shared" si="4"/>
        <v>Não alterar</v>
      </c>
    </row>
    <row r="123" spans="2:8" ht="13.5" thickBot="1" x14ac:dyDescent="0.25">
      <c r="B123" s="20"/>
      <c r="C123" s="607" t="s">
        <v>424</v>
      </c>
      <c r="D123" s="609">
        <v>240000</v>
      </c>
      <c r="E123" s="609">
        <v>240000</v>
      </c>
      <c r="F123" s="76">
        <f t="shared" si="5"/>
        <v>5</v>
      </c>
      <c r="G123" s="609">
        <v>233975.31395084676</v>
      </c>
      <c r="H123" s="14" t="str">
        <f t="shared" si="4"/>
        <v>Não alterar</v>
      </c>
    </row>
    <row r="124" spans="2:8" ht="13.5" thickBot="1" x14ac:dyDescent="0.25">
      <c r="B124" s="20"/>
      <c r="C124" s="607" t="s">
        <v>425</v>
      </c>
      <c r="D124" s="609">
        <v>240000</v>
      </c>
      <c r="E124" s="609">
        <v>240000</v>
      </c>
      <c r="F124" s="76">
        <f t="shared" si="5"/>
        <v>5</v>
      </c>
      <c r="G124" s="609">
        <v>238726.08174680304</v>
      </c>
      <c r="H124" s="14" t="str">
        <f t="shared" si="4"/>
        <v>Não alterar</v>
      </c>
    </row>
    <row r="125" spans="2:8" ht="13.5" thickBot="1" x14ac:dyDescent="0.25">
      <c r="B125" s="20"/>
      <c r="C125" s="607" t="s">
        <v>426</v>
      </c>
      <c r="D125" s="609">
        <v>240000</v>
      </c>
      <c r="E125" s="609">
        <v>240000</v>
      </c>
      <c r="F125" s="76">
        <f t="shared" si="5"/>
        <v>5</v>
      </c>
      <c r="G125" s="609">
        <v>238615.09899387741</v>
      </c>
      <c r="H125" s="14" t="str">
        <f t="shared" si="4"/>
        <v>Não alterar</v>
      </c>
    </row>
    <row r="126" spans="2:8" ht="13.5" thickBot="1" x14ac:dyDescent="0.25">
      <c r="B126" s="20"/>
      <c r="C126" s="607" t="s">
        <v>427</v>
      </c>
      <c r="D126" s="609">
        <v>240000</v>
      </c>
      <c r="E126" s="609">
        <v>240000</v>
      </c>
      <c r="F126" s="76">
        <f t="shared" si="5"/>
        <v>5</v>
      </c>
      <c r="G126" s="609">
        <v>238615.09899387741</v>
      </c>
      <c r="H126" s="14" t="str">
        <f t="shared" si="4"/>
        <v>Não alterar</v>
      </c>
    </row>
    <row r="127" spans="2:8" ht="13.5" thickBot="1" x14ac:dyDescent="0.25">
      <c r="B127" s="20"/>
      <c r="C127" s="607" t="s">
        <v>428</v>
      </c>
      <c r="D127" s="609">
        <f t="shared" si="3"/>
        <v>227420</v>
      </c>
      <c r="E127" s="609">
        <v>240000</v>
      </c>
      <c r="F127" s="76">
        <f t="shared" si="5"/>
        <v>5</v>
      </c>
      <c r="G127" s="609">
        <f>VLOOKUP(C127,[1]Plan1!$E$14:$F$139,2,FALSE)</f>
        <v>215000</v>
      </c>
      <c r="H127" s="14" t="str">
        <f t="shared" si="4"/>
        <v>Não alterar</v>
      </c>
    </row>
    <row r="128" spans="2:8" ht="13.5" thickBot="1" x14ac:dyDescent="0.25">
      <c r="B128" s="20"/>
      <c r="C128" s="607" t="s">
        <v>429</v>
      </c>
      <c r="D128" s="609">
        <f t="shared" si="3"/>
        <v>227420</v>
      </c>
      <c r="E128" s="609">
        <v>240000</v>
      </c>
      <c r="F128" s="76">
        <f t="shared" si="5"/>
        <v>5</v>
      </c>
      <c r="G128" s="609">
        <v>215000</v>
      </c>
      <c r="H128" s="14" t="str">
        <f t="shared" si="4"/>
        <v>Não alterar</v>
      </c>
    </row>
    <row r="129" spans="2:8" ht="13.5" thickBot="1" x14ac:dyDescent="0.25">
      <c r="B129" s="20"/>
      <c r="C129" s="607" t="s">
        <v>430</v>
      </c>
      <c r="D129" s="609">
        <f t="shared" si="3"/>
        <v>227420</v>
      </c>
      <c r="E129" s="609">
        <v>240000</v>
      </c>
      <c r="F129" s="76">
        <f t="shared" si="5"/>
        <v>5</v>
      </c>
      <c r="G129" s="609">
        <v>215000</v>
      </c>
      <c r="H129" s="14" t="str">
        <f t="shared" si="4"/>
        <v>Não alterar</v>
      </c>
    </row>
    <row r="130" spans="2:8" ht="13.5" thickBot="1" x14ac:dyDescent="0.25">
      <c r="B130" s="20"/>
      <c r="C130" s="607" t="s">
        <v>431</v>
      </c>
      <c r="D130" s="609">
        <v>240000</v>
      </c>
      <c r="E130" s="609">
        <v>240000</v>
      </c>
      <c r="F130" s="76">
        <f t="shared" si="5"/>
        <v>5</v>
      </c>
      <c r="G130" s="609">
        <v>233998.30990947451</v>
      </c>
      <c r="H130" s="14" t="str">
        <f t="shared" si="4"/>
        <v>Não alterar</v>
      </c>
    </row>
    <row r="131" spans="2:8" ht="13.5" thickBot="1" x14ac:dyDescent="0.25">
      <c r="B131" s="20"/>
      <c r="C131" s="607" t="s">
        <v>432</v>
      </c>
      <c r="D131" s="609">
        <v>240000</v>
      </c>
      <c r="E131" s="609">
        <v>240000</v>
      </c>
      <c r="F131" s="76">
        <f t="shared" si="5"/>
        <v>5</v>
      </c>
      <c r="G131" s="609">
        <v>233998.30990947451</v>
      </c>
      <c r="H131" s="14" t="str">
        <f t="shared" si="4"/>
        <v>Não alterar</v>
      </c>
    </row>
    <row r="132" spans="2:8" ht="13.5" thickBot="1" x14ac:dyDescent="0.25">
      <c r="B132" s="20"/>
      <c r="C132" s="607" t="s">
        <v>433</v>
      </c>
      <c r="D132" s="609">
        <f t="shared" si="3"/>
        <v>227420</v>
      </c>
      <c r="E132" s="609">
        <v>240000</v>
      </c>
      <c r="F132" s="76">
        <f t="shared" si="5"/>
        <v>5</v>
      </c>
      <c r="G132" s="609">
        <v>215000</v>
      </c>
      <c r="H132" s="14" t="str">
        <f t="shared" si="4"/>
        <v>Não alterar</v>
      </c>
    </row>
    <row r="133" spans="2:8" ht="13.5" thickBot="1" x14ac:dyDescent="0.25">
      <c r="B133" s="20"/>
      <c r="C133" s="607" t="s">
        <v>434</v>
      </c>
      <c r="D133" s="609">
        <f t="shared" si="3"/>
        <v>227420</v>
      </c>
      <c r="E133" s="609">
        <v>240000</v>
      </c>
      <c r="F133" s="76">
        <f t="shared" si="5"/>
        <v>5</v>
      </c>
      <c r="G133" s="609">
        <v>215000</v>
      </c>
      <c r="H133" s="14" t="str">
        <f t="shared" si="4"/>
        <v>Não alterar</v>
      </c>
    </row>
    <row r="134" spans="2:8" ht="13.5" thickBot="1" x14ac:dyDescent="0.25">
      <c r="B134" s="20"/>
      <c r="C134" s="607" t="s">
        <v>435</v>
      </c>
      <c r="D134" s="609">
        <v>240000</v>
      </c>
      <c r="E134" s="609">
        <v>240000</v>
      </c>
      <c r="F134" s="76">
        <f t="shared" si="5"/>
        <v>5</v>
      </c>
      <c r="G134" s="609">
        <v>238615.09899387741</v>
      </c>
      <c r="H134" s="14" t="str">
        <f t="shared" si="4"/>
        <v>Não alterar</v>
      </c>
    </row>
    <row r="135" spans="2:8" ht="13.5" thickBot="1" x14ac:dyDescent="0.25">
      <c r="B135" s="20"/>
      <c r="C135" s="607"/>
      <c r="D135" s="609"/>
      <c r="E135" s="609"/>
      <c r="F135" s="76"/>
      <c r="G135" s="609">
        <v>238615.09899387741</v>
      </c>
      <c r="H135" s="14"/>
    </row>
    <row r="136" spans="2:8" ht="13.5" thickBot="1" x14ac:dyDescent="0.25">
      <c r="B136" s="20"/>
      <c r="C136" s="607"/>
      <c r="D136" s="609"/>
      <c r="E136" s="609"/>
      <c r="F136" s="76"/>
      <c r="G136" s="609"/>
      <c r="H136" s="14"/>
    </row>
    <row r="137" spans="2:8" ht="13.5" thickBot="1" x14ac:dyDescent="0.25">
      <c r="B137" s="20"/>
      <c r="C137" s="607"/>
      <c r="D137" s="609"/>
      <c r="E137" s="609"/>
      <c r="F137" s="76"/>
      <c r="G137" s="609"/>
      <c r="H137" s="14"/>
    </row>
    <row r="138" spans="2:8" ht="13.5" thickBot="1" x14ac:dyDescent="0.25">
      <c r="B138" s="20"/>
      <c r="C138" s="607"/>
      <c r="D138" s="609"/>
      <c r="E138" s="609"/>
      <c r="F138" s="76"/>
      <c r="G138" s="609"/>
      <c r="H138" s="14"/>
    </row>
    <row r="139" spans="2:8" ht="13.5" thickBot="1" x14ac:dyDescent="0.25">
      <c r="B139" s="20"/>
      <c r="C139" s="607"/>
      <c r="D139" s="609"/>
      <c r="E139" s="609"/>
      <c r="F139" s="76"/>
      <c r="G139" s="609"/>
      <c r="H139" s="14"/>
    </row>
    <row r="140" spans="2:8" ht="13.5" thickBot="1" x14ac:dyDescent="0.25">
      <c r="B140" s="20"/>
      <c r="C140" s="607"/>
      <c r="D140" s="609"/>
      <c r="E140" s="609"/>
      <c r="F140" s="76"/>
      <c r="G140" s="609"/>
      <c r="H140" s="14"/>
    </row>
    <row r="141" spans="2:8" ht="13.5" thickBot="1" x14ac:dyDescent="0.25">
      <c r="B141" s="20"/>
      <c r="C141" s="607"/>
      <c r="D141" s="609"/>
      <c r="E141" s="609"/>
      <c r="F141" s="76"/>
      <c r="G141" s="609"/>
      <c r="H141" s="14"/>
    </row>
    <row r="142" spans="2:8" ht="13.5" thickBot="1" x14ac:dyDescent="0.25">
      <c r="B142" s="20"/>
      <c r="C142" s="607"/>
      <c r="D142" s="609"/>
      <c r="E142" s="609"/>
      <c r="F142" s="76"/>
      <c r="G142" s="609"/>
      <c r="H142" s="14"/>
    </row>
    <row r="143" spans="2:8" ht="13.5" thickBot="1" x14ac:dyDescent="0.25">
      <c r="B143" s="20"/>
      <c r="C143" s="607"/>
      <c r="D143" s="609"/>
      <c r="E143" s="609"/>
      <c r="F143" s="76"/>
      <c r="G143" s="609"/>
      <c r="H143" s="14"/>
    </row>
    <row r="144" spans="2:8" ht="13.5" thickBot="1" x14ac:dyDescent="0.25">
      <c r="B144" s="20"/>
      <c r="C144" s="607"/>
      <c r="D144" s="609"/>
      <c r="E144" s="609"/>
      <c r="F144" s="76"/>
      <c r="G144" s="609"/>
      <c r="H144" s="14"/>
    </row>
    <row r="145" spans="2:8" ht="13.5" thickBot="1" x14ac:dyDescent="0.25">
      <c r="B145" s="20"/>
      <c r="C145" s="607"/>
      <c r="D145" s="609"/>
      <c r="E145" s="609"/>
      <c r="F145" s="76"/>
      <c r="G145" s="609"/>
      <c r="H145" s="14"/>
    </row>
    <row r="146" spans="2:8" ht="13.5" thickBot="1" x14ac:dyDescent="0.25">
      <c r="B146" s="20"/>
      <c r="C146" s="607"/>
      <c r="D146" s="609"/>
      <c r="E146" s="609"/>
      <c r="F146" s="76"/>
      <c r="G146" s="609"/>
      <c r="H146" s="14"/>
    </row>
    <row r="147" spans="2:8" ht="13.5" thickBot="1" x14ac:dyDescent="0.25">
      <c r="B147" s="20"/>
      <c r="C147" s="607"/>
      <c r="D147" s="609"/>
      <c r="E147" s="609"/>
      <c r="F147" s="76"/>
      <c r="G147" s="609"/>
      <c r="H147" s="14"/>
    </row>
    <row r="148" spans="2:8" ht="13.5" thickBot="1" x14ac:dyDescent="0.25">
      <c r="B148" s="20"/>
      <c r="C148" s="607"/>
      <c r="D148" s="609"/>
      <c r="E148" s="609"/>
      <c r="F148" s="76"/>
      <c r="G148" s="609"/>
      <c r="H148" s="14"/>
    </row>
    <row r="149" spans="2:8" ht="13.5" thickBot="1" x14ac:dyDescent="0.25">
      <c r="B149" s="20"/>
      <c r="C149" s="607"/>
      <c r="D149" s="609"/>
      <c r="E149" s="609"/>
      <c r="F149" s="76"/>
      <c r="G149" s="609"/>
      <c r="H149" s="14"/>
    </row>
    <row r="150" spans="2:8" ht="13.5" thickBot="1" x14ac:dyDescent="0.25">
      <c r="B150" s="20"/>
      <c r="C150" s="607"/>
      <c r="D150" s="609"/>
      <c r="E150" s="609"/>
      <c r="F150" s="76"/>
      <c r="G150" s="609"/>
      <c r="H150" s="14"/>
    </row>
    <row r="151" spans="2:8" ht="13.5" thickBot="1" x14ac:dyDescent="0.25">
      <c r="B151" s="20"/>
      <c r="C151" s="607"/>
      <c r="D151" s="609"/>
      <c r="E151" s="609"/>
      <c r="F151" s="76"/>
      <c r="G151" s="609"/>
      <c r="H151" s="14"/>
    </row>
    <row r="152" spans="2:8" ht="13.5" thickBot="1" x14ac:dyDescent="0.25">
      <c r="B152" s="20"/>
      <c r="C152" s="607"/>
      <c r="D152" s="609"/>
      <c r="E152" s="609"/>
      <c r="F152" s="76"/>
      <c r="G152" s="609"/>
      <c r="H152" s="14"/>
    </row>
    <row r="153" spans="2:8" ht="13.5" thickBot="1" x14ac:dyDescent="0.25">
      <c r="B153" s="20"/>
      <c r="C153" s="607"/>
      <c r="D153" s="609"/>
      <c r="E153" s="609"/>
      <c r="F153" s="76"/>
      <c r="G153" s="609"/>
      <c r="H153" s="14"/>
    </row>
    <row r="154" spans="2:8" ht="13.5" thickBot="1" x14ac:dyDescent="0.25">
      <c r="B154" s="20"/>
      <c r="C154" s="607"/>
      <c r="D154" s="609"/>
      <c r="E154" s="609"/>
      <c r="F154" s="76"/>
      <c r="G154" s="609"/>
      <c r="H154" s="14"/>
    </row>
    <row r="155" spans="2:8" ht="13.5" thickBot="1" x14ac:dyDescent="0.25">
      <c r="B155" s="20"/>
      <c r="C155" s="607"/>
      <c r="D155" s="609"/>
      <c r="E155" s="609"/>
      <c r="F155" s="76"/>
      <c r="G155" s="609"/>
      <c r="H155" s="14"/>
    </row>
    <row r="156" spans="2:8" ht="13.5" thickBot="1" x14ac:dyDescent="0.25">
      <c r="B156" s="20"/>
      <c r="C156" s="607"/>
      <c r="D156" s="609"/>
      <c r="E156" s="609"/>
      <c r="F156" s="76"/>
      <c r="G156" s="609"/>
      <c r="H156" s="14"/>
    </row>
    <row r="157" spans="2:8" ht="13.5" thickBot="1" x14ac:dyDescent="0.25">
      <c r="B157" s="20"/>
      <c r="C157" s="607"/>
      <c r="D157" s="609"/>
      <c r="E157" s="609"/>
      <c r="F157" s="76"/>
      <c r="G157" s="609"/>
      <c r="H157" s="14"/>
    </row>
    <row r="158" spans="2:8" ht="13.5" thickBot="1" x14ac:dyDescent="0.25">
      <c r="B158" s="20"/>
      <c r="C158" s="607"/>
      <c r="D158" s="609"/>
      <c r="E158" s="609"/>
      <c r="F158" s="76"/>
      <c r="G158" s="609"/>
      <c r="H158" s="14"/>
    </row>
    <row r="159" spans="2:8" ht="13.5" thickBot="1" x14ac:dyDescent="0.25">
      <c r="B159" s="20"/>
      <c r="C159" s="607"/>
      <c r="D159" s="609"/>
      <c r="E159" s="609"/>
      <c r="F159" s="76"/>
      <c r="G159" s="609"/>
      <c r="H159" s="14"/>
    </row>
    <row r="160" spans="2:8" ht="13.5" thickBot="1" x14ac:dyDescent="0.25">
      <c r="B160" s="20"/>
      <c r="C160" s="607"/>
      <c r="D160" s="609"/>
      <c r="E160" s="609"/>
      <c r="F160" s="76"/>
      <c r="G160" s="609"/>
      <c r="H160" s="14"/>
    </row>
    <row r="161" spans="2:8" ht="13.5" thickBot="1" x14ac:dyDescent="0.25">
      <c r="B161" s="20"/>
      <c r="C161" s="607"/>
      <c r="D161" s="609"/>
      <c r="E161" s="609"/>
      <c r="F161" s="76"/>
      <c r="G161" s="609"/>
      <c r="H161" s="14"/>
    </row>
    <row r="162" spans="2:8" ht="13.5" thickBot="1" x14ac:dyDescent="0.25">
      <c r="B162" s="20"/>
      <c r="C162" s="607"/>
      <c r="D162" s="609"/>
      <c r="E162" s="609"/>
      <c r="F162" s="76"/>
      <c r="G162" s="609"/>
      <c r="H162" s="14"/>
    </row>
    <row r="163" spans="2:8" ht="13.5" thickBot="1" x14ac:dyDescent="0.25">
      <c r="B163" s="20"/>
      <c r="C163" s="607"/>
      <c r="D163" s="609"/>
      <c r="E163" s="609"/>
      <c r="F163" s="76"/>
      <c r="G163" s="609"/>
      <c r="H163" s="14"/>
    </row>
    <row r="164" spans="2:8" ht="13.5" thickBot="1" x14ac:dyDescent="0.25">
      <c r="B164" s="20"/>
      <c r="C164" s="607"/>
      <c r="D164" s="609"/>
      <c r="E164" s="609"/>
      <c r="F164" s="76"/>
      <c r="G164" s="609"/>
      <c r="H164" s="14"/>
    </row>
    <row r="165" spans="2:8" ht="13.5" thickBot="1" x14ac:dyDescent="0.25">
      <c r="B165" s="20"/>
      <c r="C165" s="607"/>
      <c r="D165" s="609"/>
      <c r="E165" s="609"/>
      <c r="F165" s="76"/>
      <c r="G165" s="609"/>
      <c r="H165" s="14"/>
    </row>
    <row r="166" spans="2:8" ht="13.5" thickBot="1" x14ac:dyDescent="0.25">
      <c r="B166" s="20"/>
      <c r="C166" s="607"/>
      <c r="D166" s="609"/>
      <c r="E166" s="609"/>
      <c r="F166" s="76"/>
      <c r="G166" s="609"/>
      <c r="H166" s="14"/>
    </row>
    <row r="167" spans="2:8" ht="13.5" thickBot="1" x14ac:dyDescent="0.25">
      <c r="B167" s="20"/>
      <c r="C167" s="607"/>
      <c r="D167" s="609"/>
      <c r="E167" s="609"/>
      <c r="F167" s="76"/>
      <c r="G167" s="609"/>
      <c r="H167" s="14"/>
    </row>
    <row r="168" spans="2:8" ht="13.5" thickBot="1" x14ac:dyDescent="0.25">
      <c r="B168" s="20"/>
      <c r="C168" s="607"/>
      <c r="D168" s="609"/>
      <c r="E168" s="609"/>
      <c r="F168" s="76"/>
      <c r="G168" s="609"/>
      <c r="H168" s="14"/>
    </row>
    <row r="169" spans="2:8" ht="13.5" thickBot="1" x14ac:dyDescent="0.25">
      <c r="B169" s="20"/>
      <c r="C169" s="607"/>
      <c r="D169" s="609"/>
      <c r="E169" s="609"/>
      <c r="F169" s="76"/>
      <c r="G169" s="609"/>
      <c r="H169" s="14"/>
    </row>
    <row r="170" spans="2:8" ht="13.5" thickBot="1" x14ac:dyDescent="0.25">
      <c r="B170" s="20"/>
      <c r="C170" s="607"/>
      <c r="D170" s="609"/>
      <c r="E170" s="609"/>
      <c r="F170" s="76"/>
      <c r="G170" s="609"/>
      <c r="H170" s="14"/>
    </row>
    <row r="171" spans="2:8" ht="13.5" thickBot="1" x14ac:dyDescent="0.25">
      <c r="B171" s="20"/>
      <c r="C171" s="607"/>
      <c r="D171" s="609"/>
      <c r="E171" s="609"/>
      <c r="F171" s="76"/>
      <c r="G171" s="609"/>
      <c r="H171" s="14"/>
    </row>
    <row r="172" spans="2:8" ht="13.5" thickBot="1" x14ac:dyDescent="0.25">
      <c r="B172" s="20"/>
      <c r="C172" s="607"/>
      <c r="D172" s="609"/>
      <c r="E172" s="609"/>
      <c r="F172" s="76"/>
      <c r="G172" s="609"/>
      <c r="H172" s="14"/>
    </row>
    <row r="173" spans="2:8" ht="13.5" thickBot="1" x14ac:dyDescent="0.25">
      <c r="B173" s="20"/>
      <c r="C173" s="607"/>
      <c r="D173" s="609"/>
      <c r="E173" s="609"/>
      <c r="F173" s="76"/>
      <c r="G173" s="609"/>
      <c r="H173" s="14"/>
    </row>
    <row r="174" spans="2:8" ht="13.5" thickBot="1" x14ac:dyDescent="0.25">
      <c r="B174" s="20"/>
      <c r="C174" s="607"/>
      <c r="D174" s="609"/>
      <c r="E174" s="609"/>
      <c r="F174" s="76"/>
      <c r="G174" s="609"/>
      <c r="H174" s="14"/>
    </row>
    <row r="175" spans="2:8" ht="13.5" thickBot="1" x14ac:dyDescent="0.25">
      <c r="B175" s="20"/>
      <c r="C175" s="607"/>
      <c r="D175" s="609"/>
      <c r="E175" s="609"/>
      <c r="F175" s="76"/>
      <c r="G175" s="609"/>
      <c r="H175" s="14"/>
    </row>
    <row r="176" spans="2:8" ht="13.5" thickBot="1" x14ac:dyDescent="0.25">
      <c r="B176" s="20"/>
      <c r="C176" s="607"/>
      <c r="D176" s="609"/>
      <c r="E176" s="609"/>
      <c r="F176" s="76"/>
      <c r="G176" s="609"/>
      <c r="H176" s="14"/>
    </row>
    <row r="177" spans="2:8" ht="13.5" thickBot="1" x14ac:dyDescent="0.25">
      <c r="B177" s="20"/>
      <c r="C177" s="607"/>
      <c r="D177" s="609"/>
      <c r="E177" s="609"/>
      <c r="F177" s="76"/>
      <c r="G177" s="609"/>
      <c r="H177" s="14"/>
    </row>
    <row r="178" spans="2:8" ht="13.5" thickBot="1" x14ac:dyDescent="0.25">
      <c r="B178" s="20"/>
      <c r="C178" s="607"/>
      <c r="D178" s="609"/>
      <c r="E178" s="609"/>
      <c r="F178" s="76"/>
      <c r="G178" s="609"/>
      <c r="H178" s="14"/>
    </row>
    <row r="179" spans="2:8" ht="13.5" thickBot="1" x14ac:dyDescent="0.25">
      <c r="B179" s="20"/>
      <c r="C179" s="607"/>
      <c r="D179" s="609"/>
      <c r="E179" s="609"/>
      <c r="F179" s="76"/>
      <c r="G179" s="609"/>
      <c r="H179" s="14"/>
    </row>
    <row r="180" spans="2:8" ht="13.5" thickBot="1" x14ac:dyDescent="0.25">
      <c r="B180" s="20"/>
      <c r="C180" s="607"/>
      <c r="D180" s="609"/>
      <c r="E180" s="609"/>
      <c r="F180" s="76"/>
      <c r="G180" s="609"/>
      <c r="H180" s="14"/>
    </row>
    <row r="181" spans="2:8" ht="13.5" thickBot="1" x14ac:dyDescent="0.25">
      <c r="B181" s="20"/>
      <c r="C181" s="607"/>
      <c r="D181" s="609"/>
      <c r="E181" s="609"/>
      <c r="F181" s="76"/>
      <c r="G181" s="609"/>
      <c r="H181" s="14"/>
    </row>
    <row r="182" spans="2:8" ht="13.5" thickBot="1" x14ac:dyDescent="0.25">
      <c r="B182" s="20"/>
      <c r="C182" s="607"/>
      <c r="D182" s="609"/>
      <c r="E182" s="609"/>
      <c r="F182" s="76"/>
      <c r="G182" s="609"/>
      <c r="H182" s="14"/>
    </row>
    <row r="183" spans="2:8" ht="13.5" thickBot="1" x14ac:dyDescent="0.25">
      <c r="B183" s="20"/>
      <c r="C183" s="607"/>
      <c r="D183" s="609"/>
      <c r="E183" s="609"/>
      <c r="F183" s="76"/>
      <c r="G183" s="609"/>
      <c r="H183" s="14"/>
    </row>
    <row r="184" spans="2:8" ht="13.5" thickBot="1" x14ac:dyDescent="0.25">
      <c r="B184" s="20"/>
      <c r="C184" s="607"/>
      <c r="D184" s="609"/>
      <c r="E184" s="609"/>
      <c r="F184" s="76"/>
      <c r="G184" s="609"/>
      <c r="H184" s="14"/>
    </row>
    <row r="185" spans="2:8" ht="13.5" thickBot="1" x14ac:dyDescent="0.25">
      <c r="B185" s="20"/>
      <c r="C185" s="607"/>
      <c r="D185" s="609"/>
      <c r="E185" s="609"/>
      <c r="F185" s="76"/>
      <c r="G185" s="609"/>
      <c r="H185" s="14"/>
    </row>
    <row r="186" spans="2:8" ht="13.5" thickBot="1" x14ac:dyDescent="0.25">
      <c r="B186" s="20"/>
      <c r="C186" s="607"/>
      <c r="D186" s="609"/>
      <c r="E186" s="609"/>
      <c r="F186" s="76"/>
      <c r="G186" s="609"/>
      <c r="H186" s="14"/>
    </row>
    <row r="187" spans="2:8" ht="13.5" thickBot="1" x14ac:dyDescent="0.25">
      <c r="B187" s="20"/>
      <c r="C187" s="607"/>
      <c r="D187" s="609"/>
      <c r="E187" s="609"/>
      <c r="F187" s="76"/>
      <c r="G187" s="609"/>
      <c r="H187" s="14"/>
    </row>
    <row r="188" spans="2:8" ht="13.5" thickBot="1" x14ac:dyDescent="0.25">
      <c r="B188" s="20"/>
      <c r="C188" s="607"/>
      <c r="D188" s="609"/>
      <c r="E188" s="609"/>
      <c r="F188" s="76"/>
      <c r="G188" s="609"/>
      <c r="H188" s="14"/>
    </row>
    <row r="189" spans="2:8" ht="13.5" thickBot="1" x14ac:dyDescent="0.25">
      <c r="B189" s="20"/>
      <c r="C189" s="607"/>
      <c r="D189" s="609"/>
      <c r="E189" s="609"/>
      <c r="F189" s="76"/>
      <c r="G189" s="609"/>
      <c r="H189" s="14"/>
    </row>
    <row r="190" spans="2:8" ht="13.5" thickBot="1" x14ac:dyDescent="0.25">
      <c r="B190" s="20"/>
      <c r="C190" s="607"/>
      <c r="D190" s="609"/>
      <c r="E190" s="609"/>
      <c r="F190" s="76"/>
      <c r="G190" s="609"/>
      <c r="H190" s="14"/>
    </row>
    <row r="191" spans="2:8" ht="13.5" thickBot="1" x14ac:dyDescent="0.25">
      <c r="B191" s="20"/>
      <c r="C191" s="607"/>
      <c r="D191" s="609"/>
      <c r="E191" s="609"/>
      <c r="F191" s="76"/>
      <c r="G191" s="609"/>
      <c r="H191" s="14"/>
    </row>
    <row r="192" spans="2:8" ht="13.5" thickBot="1" x14ac:dyDescent="0.25">
      <c r="B192" s="20"/>
      <c r="C192" s="607"/>
      <c r="D192" s="609"/>
      <c r="E192" s="609"/>
      <c r="F192" s="76"/>
      <c r="G192" s="609"/>
      <c r="H192" s="14"/>
    </row>
    <row r="193" spans="2:8" ht="13.5" thickBot="1" x14ac:dyDescent="0.25">
      <c r="B193" s="20"/>
      <c r="C193" s="607"/>
      <c r="D193" s="609"/>
      <c r="E193" s="609"/>
      <c r="F193" s="76"/>
      <c r="G193" s="609"/>
      <c r="H193" s="14"/>
    </row>
    <row r="194" spans="2:8" ht="13.5" thickBot="1" x14ac:dyDescent="0.25">
      <c r="B194" s="20"/>
      <c r="C194" s="607"/>
      <c r="D194" s="609"/>
      <c r="E194" s="609"/>
      <c r="F194" s="76"/>
      <c r="G194" s="609"/>
      <c r="H194" s="14"/>
    </row>
    <row r="195" spans="2:8" ht="13.5" thickBot="1" x14ac:dyDescent="0.25">
      <c r="B195" s="20"/>
      <c r="C195" s="607"/>
      <c r="D195" s="609"/>
      <c r="E195" s="609"/>
      <c r="F195" s="76"/>
      <c r="G195" s="609"/>
      <c r="H195" s="14"/>
    </row>
    <row r="196" spans="2:8" ht="13.5" thickBot="1" x14ac:dyDescent="0.25">
      <c r="B196" s="20"/>
      <c r="C196" s="607"/>
      <c r="D196" s="609"/>
      <c r="E196" s="609"/>
      <c r="F196" s="76"/>
      <c r="G196" s="609"/>
      <c r="H196" s="14"/>
    </row>
    <row r="197" spans="2:8" ht="13.5" thickBot="1" x14ac:dyDescent="0.25">
      <c r="B197" s="20"/>
      <c r="C197" s="607"/>
      <c r="D197" s="609"/>
      <c r="E197" s="609"/>
      <c r="F197" s="76"/>
      <c r="G197" s="609"/>
      <c r="H197" s="14"/>
    </row>
    <row r="198" spans="2:8" ht="13.5" thickBot="1" x14ac:dyDescent="0.25">
      <c r="B198" s="20"/>
      <c r="C198" s="607"/>
      <c r="D198" s="609"/>
      <c r="E198" s="609"/>
      <c r="F198" s="76"/>
      <c r="G198" s="609"/>
      <c r="H198" s="14"/>
    </row>
    <row r="199" spans="2:8" ht="13.5" thickBot="1" x14ac:dyDescent="0.25">
      <c r="B199" s="20"/>
      <c r="C199" s="607"/>
      <c r="D199" s="609"/>
      <c r="E199" s="609"/>
      <c r="F199" s="76"/>
      <c r="G199" s="609"/>
      <c r="H199" s="14"/>
    </row>
    <row r="200" spans="2:8" ht="13.5" thickBot="1" x14ac:dyDescent="0.25">
      <c r="B200" s="20"/>
      <c r="C200" s="607"/>
      <c r="D200" s="609"/>
      <c r="E200" s="609"/>
      <c r="F200" s="76"/>
      <c r="G200" s="609"/>
      <c r="H200" s="14"/>
    </row>
    <row r="201" spans="2:8" ht="13.5" thickBot="1" x14ac:dyDescent="0.25">
      <c r="B201" s="20"/>
      <c r="C201" s="607"/>
      <c r="D201" s="609"/>
      <c r="E201" s="609"/>
      <c r="F201" s="76"/>
      <c r="G201" s="609"/>
      <c r="H201" s="14"/>
    </row>
    <row r="202" spans="2:8" ht="13.5" thickBot="1" x14ac:dyDescent="0.25">
      <c r="B202" s="20"/>
      <c r="C202" s="607"/>
      <c r="D202" s="609"/>
      <c r="E202" s="609"/>
      <c r="F202" s="76"/>
      <c r="G202" s="609"/>
      <c r="H202" s="14"/>
    </row>
    <row r="203" spans="2:8" ht="13.5" thickBot="1" x14ac:dyDescent="0.25">
      <c r="B203" s="20"/>
      <c r="C203" s="607"/>
      <c r="D203" s="609"/>
      <c r="E203" s="609"/>
      <c r="F203" s="76"/>
      <c r="G203" s="609"/>
      <c r="H203" s="14"/>
    </row>
    <row r="204" spans="2:8" ht="13.5" thickBot="1" x14ac:dyDescent="0.25">
      <c r="B204" s="20"/>
      <c r="C204" s="607"/>
      <c r="D204" s="609"/>
      <c r="E204" s="609"/>
      <c r="F204" s="76"/>
      <c r="G204" s="609"/>
      <c r="H204" s="14"/>
    </row>
    <row r="205" spans="2:8" ht="13.5" thickBot="1" x14ac:dyDescent="0.25">
      <c r="B205" s="20"/>
      <c r="C205" s="607"/>
      <c r="D205" s="609"/>
      <c r="E205" s="609"/>
      <c r="F205" s="76"/>
      <c r="G205" s="609"/>
      <c r="H205" s="14"/>
    </row>
    <row r="206" spans="2:8" ht="13.5" thickBot="1" x14ac:dyDescent="0.25">
      <c r="B206" s="20"/>
      <c r="C206" s="607"/>
      <c r="D206" s="609"/>
      <c r="E206" s="609"/>
      <c r="F206" s="76"/>
      <c r="G206" s="609"/>
      <c r="H206" s="14"/>
    </row>
    <row r="207" spans="2:8" ht="13.5" thickBot="1" x14ac:dyDescent="0.25">
      <c r="B207" s="20"/>
      <c r="C207" s="607"/>
      <c r="D207" s="609"/>
      <c r="E207" s="609"/>
      <c r="F207" s="76"/>
      <c r="G207" s="609"/>
      <c r="H207" s="14"/>
    </row>
    <row r="208" spans="2:8" ht="13.5" thickBot="1" x14ac:dyDescent="0.25">
      <c r="B208" s="20"/>
      <c r="C208" s="607"/>
      <c r="D208" s="609"/>
      <c r="E208" s="609"/>
      <c r="F208" s="76"/>
      <c r="G208" s="609"/>
      <c r="H208" s="14"/>
    </row>
    <row r="209" spans="2:8" ht="13.5" thickBot="1" x14ac:dyDescent="0.25">
      <c r="B209" s="20"/>
      <c r="C209" s="607"/>
      <c r="D209" s="609"/>
      <c r="E209" s="609"/>
      <c r="F209" s="76"/>
      <c r="G209" s="609"/>
      <c r="H209" s="14"/>
    </row>
    <row r="210" spans="2:8" ht="13.5" thickBot="1" x14ac:dyDescent="0.25">
      <c r="B210" s="20"/>
      <c r="C210" s="607"/>
      <c r="D210" s="609"/>
      <c r="E210" s="609"/>
      <c r="F210" s="76"/>
      <c r="G210" s="609"/>
      <c r="H210" s="14"/>
    </row>
    <row r="211" spans="2:8" ht="13.5" thickBot="1" x14ac:dyDescent="0.25">
      <c r="B211" s="20"/>
      <c r="C211" s="607"/>
      <c r="D211" s="609"/>
      <c r="E211" s="609"/>
      <c r="F211" s="76"/>
      <c r="G211" s="609"/>
      <c r="H211" s="14"/>
    </row>
    <row r="212" spans="2:8" ht="13.5" thickBot="1" x14ac:dyDescent="0.25">
      <c r="B212" s="20"/>
      <c r="C212" s="607"/>
      <c r="D212" s="609"/>
      <c r="E212" s="609"/>
      <c r="F212" s="76"/>
      <c r="G212" s="609"/>
      <c r="H212" s="14"/>
    </row>
    <row r="213" spans="2:8" ht="13.5" thickBot="1" x14ac:dyDescent="0.25">
      <c r="B213" s="20"/>
      <c r="C213" s="607"/>
      <c r="D213" s="609"/>
      <c r="E213" s="609"/>
      <c r="F213" s="76"/>
      <c r="G213" s="609"/>
      <c r="H213" s="14"/>
    </row>
    <row r="214" spans="2:8" ht="13.5" thickBot="1" x14ac:dyDescent="0.25">
      <c r="B214" s="20"/>
      <c r="C214" s="607"/>
      <c r="D214" s="609"/>
      <c r="E214" s="609"/>
      <c r="F214" s="76"/>
      <c r="G214" s="609"/>
      <c r="H214" s="14"/>
    </row>
    <row r="215" spans="2:8" ht="13.5" thickBot="1" x14ac:dyDescent="0.25">
      <c r="B215" s="20"/>
      <c r="C215" s="607"/>
      <c r="D215" s="609"/>
      <c r="E215" s="609"/>
      <c r="F215" s="76"/>
      <c r="G215" s="609"/>
      <c r="H215" s="14"/>
    </row>
    <row r="216" spans="2:8" ht="13.5" thickBot="1" x14ac:dyDescent="0.25">
      <c r="B216" s="20"/>
      <c r="C216" s="607"/>
      <c r="D216" s="609"/>
      <c r="E216" s="609"/>
      <c r="F216" s="76"/>
      <c r="G216" s="609"/>
      <c r="H216" s="14"/>
    </row>
    <row r="217" spans="2:8" ht="13.5" thickBot="1" x14ac:dyDescent="0.25">
      <c r="B217" s="20"/>
      <c r="C217" s="607"/>
      <c r="D217" s="609"/>
      <c r="E217" s="609"/>
      <c r="F217" s="76"/>
      <c r="G217" s="609"/>
      <c r="H217" s="14"/>
    </row>
    <row r="218" spans="2:8" ht="13.5" thickBot="1" x14ac:dyDescent="0.25">
      <c r="B218" s="20"/>
      <c r="C218" s="607"/>
      <c r="D218" s="609"/>
      <c r="E218" s="609"/>
      <c r="F218" s="76"/>
      <c r="G218" s="609"/>
      <c r="H218" s="14"/>
    </row>
    <row r="219" spans="2:8" ht="13.5" thickBot="1" x14ac:dyDescent="0.25">
      <c r="B219" s="20"/>
      <c r="C219" s="607"/>
      <c r="D219" s="609"/>
      <c r="E219" s="609"/>
      <c r="F219" s="76"/>
      <c r="G219" s="609"/>
      <c r="H219" s="14"/>
    </row>
    <row r="220" spans="2:8" ht="13.5" thickBot="1" x14ac:dyDescent="0.25">
      <c r="B220" s="20"/>
      <c r="C220" s="607"/>
      <c r="D220" s="609"/>
      <c r="E220" s="609"/>
      <c r="F220" s="76"/>
      <c r="G220" s="609"/>
      <c r="H220" s="14"/>
    </row>
    <row r="221" spans="2:8" ht="13.5" thickBot="1" x14ac:dyDescent="0.25">
      <c r="B221" s="20"/>
      <c r="C221" s="607"/>
      <c r="D221" s="609"/>
      <c r="E221" s="609"/>
      <c r="F221" s="76"/>
      <c r="G221" s="609"/>
      <c r="H221" s="14"/>
    </row>
    <row r="222" spans="2:8" ht="13.5" thickBot="1" x14ac:dyDescent="0.25">
      <c r="B222" s="20"/>
      <c r="C222" s="607"/>
      <c r="D222" s="609"/>
      <c r="E222" s="609"/>
      <c r="F222" s="76"/>
      <c r="G222" s="609"/>
      <c r="H222" s="14"/>
    </row>
    <row r="223" spans="2:8" ht="13.5" thickBot="1" x14ac:dyDescent="0.25">
      <c r="B223" s="20"/>
      <c r="C223" s="607"/>
      <c r="D223" s="609"/>
      <c r="E223" s="609"/>
      <c r="F223" s="76"/>
      <c r="G223" s="609"/>
      <c r="H223" s="14"/>
    </row>
    <row r="224" spans="2:8" ht="13.5" thickBot="1" x14ac:dyDescent="0.25">
      <c r="B224" s="20"/>
      <c r="C224" s="607"/>
      <c r="D224" s="609"/>
      <c r="E224" s="609"/>
      <c r="F224" s="76"/>
      <c r="G224" s="609"/>
      <c r="H224" s="14"/>
    </row>
    <row r="225" spans="2:8" ht="13.5" thickBot="1" x14ac:dyDescent="0.25">
      <c r="B225" s="20"/>
      <c r="C225" s="607"/>
      <c r="D225" s="609"/>
      <c r="E225" s="609"/>
      <c r="F225" s="76"/>
      <c r="G225" s="609"/>
      <c r="H225" s="14"/>
    </row>
    <row r="226" spans="2:8" ht="13.5" thickBot="1" x14ac:dyDescent="0.25">
      <c r="B226" s="20"/>
      <c r="C226" s="607"/>
      <c r="D226" s="609"/>
      <c r="E226" s="609"/>
      <c r="F226" s="76"/>
      <c r="G226" s="609"/>
      <c r="H226" s="14"/>
    </row>
    <row r="227" spans="2:8" ht="13.5" thickBot="1" x14ac:dyDescent="0.25">
      <c r="B227" s="20"/>
      <c r="C227" s="607"/>
      <c r="D227" s="609"/>
      <c r="E227" s="609"/>
      <c r="F227" s="76"/>
      <c r="G227" s="609"/>
      <c r="H227" s="14"/>
    </row>
    <row r="228" spans="2:8" ht="13.5" thickBot="1" x14ac:dyDescent="0.25">
      <c r="B228" s="20"/>
      <c r="C228" s="607"/>
      <c r="D228" s="609"/>
      <c r="E228" s="609"/>
      <c r="F228" s="76"/>
      <c r="G228" s="609"/>
      <c r="H228" s="14"/>
    </row>
    <row r="229" spans="2:8" ht="13.5" thickBot="1" x14ac:dyDescent="0.25">
      <c r="B229" s="20"/>
      <c r="C229" s="607"/>
      <c r="D229" s="609"/>
      <c r="E229" s="609"/>
      <c r="F229" s="76"/>
      <c r="G229" s="609"/>
      <c r="H229" s="14"/>
    </row>
    <row r="230" spans="2:8" ht="13.5" thickBot="1" x14ac:dyDescent="0.25">
      <c r="B230" s="20"/>
      <c r="C230" s="607"/>
      <c r="D230" s="609"/>
      <c r="E230" s="609"/>
      <c r="F230" s="76"/>
      <c r="G230" s="609"/>
      <c r="H230" s="14"/>
    </row>
    <row r="231" spans="2:8" ht="13.5" thickBot="1" x14ac:dyDescent="0.25">
      <c r="B231" s="20"/>
      <c r="C231" s="607"/>
      <c r="D231" s="609"/>
      <c r="E231" s="609"/>
      <c r="F231" s="76"/>
      <c r="G231" s="609"/>
      <c r="H231" s="14"/>
    </row>
    <row r="232" spans="2:8" ht="13.5" thickBot="1" x14ac:dyDescent="0.25">
      <c r="B232" s="20"/>
      <c r="C232" s="607"/>
      <c r="D232" s="609"/>
      <c r="E232" s="609"/>
      <c r="F232" s="76"/>
      <c r="G232" s="609"/>
      <c r="H232" s="14"/>
    </row>
    <row r="233" spans="2:8" ht="13.5" thickBot="1" x14ac:dyDescent="0.25">
      <c r="B233" s="20"/>
      <c r="C233" s="607"/>
      <c r="D233" s="609"/>
      <c r="E233" s="609"/>
      <c r="F233" s="76"/>
      <c r="G233" s="609"/>
      <c r="H233" s="14"/>
    </row>
    <row r="234" spans="2:8" ht="13.5" thickBot="1" x14ac:dyDescent="0.25">
      <c r="B234" s="20"/>
      <c r="C234" s="607"/>
      <c r="D234" s="609"/>
      <c r="E234" s="609"/>
      <c r="F234" s="76"/>
      <c r="G234" s="609"/>
      <c r="H234" s="14"/>
    </row>
    <row r="235" spans="2:8" ht="13.5" thickBot="1" x14ac:dyDescent="0.25">
      <c r="B235" s="20"/>
      <c r="C235" s="607"/>
      <c r="D235" s="609"/>
      <c r="E235" s="609"/>
      <c r="F235" s="76"/>
      <c r="G235" s="609"/>
      <c r="H235" s="14"/>
    </row>
    <row r="236" spans="2:8" ht="13.5" thickBot="1" x14ac:dyDescent="0.25">
      <c r="B236" s="20"/>
      <c r="C236" s="607"/>
      <c r="D236" s="609"/>
      <c r="E236" s="609"/>
      <c r="F236" s="76"/>
      <c r="G236" s="609"/>
      <c r="H236" s="14"/>
    </row>
    <row r="237" spans="2:8" ht="13.5" thickBot="1" x14ac:dyDescent="0.25">
      <c r="B237" s="20"/>
      <c r="C237" s="607"/>
      <c r="D237" s="609"/>
      <c r="E237" s="609"/>
      <c r="F237" s="76"/>
      <c r="G237" s="609"/>
      <c r="H237" s="14"/>
    </row>
    <row r="238" spans="2:8" ht="13.5" thickBot="1" x14ac:dyDescent="0.25">
      <c r="B238" s="20"/>
      <c r="C238" s="607"/>
      <c r="D238" s="609"/>
      <c r="E238" s="609"/>
      <c r="F238" s="76"/>
      <c r="G238" s="609"/>
      <c r="H238" s="14"/>
    </row>
    <row r="239" spans="2:8" ht="13.5" thickBot="1" x14ac:dyDescent="0.25">
      <c r="B239" s="20"/>
      <c r="C239" s="607"/>
      <c r="D239" s="609"/>
      <c r="E239" s="609"/>
      <c r="F239" s="76"/>
      <c r="G239" s="609"/>
      <c r="H239" s="14"/>
    </row>
    <row r="240" spans="2:8" ht="13.5" thickBot="1" x14ac:dyDescent="0.25">
      <c r="B240" s="20"/>
      <c r="C240" s="607"/>
      <c r="D240" s="609"/>
      <c r="E240" s="609"/>
      <c r="F240" s="76"/>
      <c r="G240" s="609"/>
      <c r="H240" s="14"/>
    </row>
    <row r="241" spans="2:10" ht="13.5" thickBot="1" x14ac:dyDescent="0.25">
      <c r="B241" s="20"/>
      <c r="C241" s="607"/>
      <c r="D241" s="609"/>
      <c r="E241" s="609"/>
      <c r="F241" s="76"/>
      <c r="G241" s="609"/>
      <c r="H241" s="14"/>
    </row>
    <row r="242" spans="2:10" ht="13.5" thickBot="1" x14ac:dyDescent="0.25">
      <c r="B242" s="20"/>
      <c r="C242" s="607"/>
      <c r="D242" s="609"/>
      <c r="E242" s="609"/>
      <c r="F242" s="76"/>
      <c r="G242" s="609"/>
      <c r="H242" s="14"/>
    </row>
    <row r="243" spans="2:10" ht="13.5" thickBot="1" x14ac:dyDescent="0.25">
      <c r="B243" s="20"/>
      <c r="C243" s="607"/>
      <c r="D243" s="609"/>
      <c r="E243" s="609"/>
      <c r="F243" s="76"/>
      <c r="G243" s="609"/>
      <c r="H243" s="14"/>
    </row>
    <row r="244" spans="2:10" s="5" customFormat="1" x14ac:dyDescent="0.2">
      <c r="B244" s="15"/>
      <c r="C244" s="58"/>
      <c r="D244" s="58"/>
      <c r="E244" s="58"/>
    </row>
    <row r="245" spans="2:10" ht="13.5" thickBot="1" x14ac:dyDescent="0.25">
      <c r="B245" s="735" t="s">
        <v>152</v>
      </c>
      <c r="C245" s="735"/>
      <c r="D245" s="735"/>
      <c r="E245" s="735"/>
    </row>
    <row r="246" spans="2:10" x14ac:dyDescent="0.2">
      <c r="B246" s="33" t="s">
        <v>113</v>
      </c>
      <c r="C246" s="56"/>
      <c r="D246" s="63">
        <f>'Premissas e Calculos'!J9</f>
        <v>8.1600000000000006E-2</v>
      </c>
      <c r="E246" s="64" t="s">
        <v>137</v>
      </c>
    </row>
    <row r="247" spans="2:10" ht="13.5" thickBot="1" x14ac:dyDescent="0.25">
      <c r="B247" s="33" t="s">
        <v>112</v>
      </c>
      <c r="C247" s="56"/>
      <c r="D247" s="65">
        <f ca="1">'Simulador CEF'!F117</f>
        <v>135546.8048901349</v>
      </c>
      <c r="E247" s="74">
        <f>VLOOKUP($D$2,'DADOS DOS EMPREENDIMENTOS'!$C$10:$D$23,2,FALSE)</f>
        <v>3</v>
      </c>
      <c r="F247" s="33" t="s">
        <v>16</v>
      </c>
      <c r="G247" s="33" t="s">
        <v>18</v>
      </c>
      <c r="H247" s="33" t="s">
        <v>176</v>
      </c>
      <c r="I247" s="301" t="s">
        <v>177</v>
      </c>
      <c r="J247" s="33" t="s">
        <v>195</v>
      </c>
    </row>
    <row r="248" spans="2:10" s="1" customFormat="1" ht="30" customHeight="1" x14ac:dyDescent="0.2">
      <c r="B248" s="8" t="s">
        <v>17</v>
      </c>
      <c r="C248" s="8" t="s">
        <v>14</v>
      </c>
      <c r="D248" s="8" t="s">
        <v>15</v>
      </c>
      <c r="E248" s="75" t="s">
        <v>111</v>
      </c>
      <c r="F248" s="8">
        <f>VLOOKUP($D$2,'DADOS DOS EMPREENDIMENTOS'!A10:J23,10,FALSE)+3</f>
        <v>41</v>
      </c>
      <c r="G248" s="8">
        <f>VLOOKUP($D$2,'DADOS DOS EMPREENDIMENTOS'!A10:L23,12,FALSE)</f>
        <v>0</v>
      </c>
      <c r="H248" s="8">
        <f>VLOOKUP($D$2,'DADOS DOS EMPREENDIMENTOS'!A10:M23,13,FALSE)</f>
        <v>0</v>
      </c>
      <c r="I248" s="302">
        <f>VLOOKUP($D$2,'DADOS DOS EMPREENDIMENTOS'!A10:J23,10,FALSE)</f>
        <v>38</v>
      </c>
      <c r="J248" s="36">
        <f>VLOOKUP($D$2,'DADOS DOS EMPREENDIMENTOS'!A10:J23,10,FALSE)</f>
        <v>38</v>
      </c>
    </row>
    <row r="249" spans="2:10" s="2" customFormat="1" ht="6.75" customHeight="1" x14ac:dyDescent="0.2">
      <c r="B249" s="17"/>
      <c r="C249" s="27"/>
      <c r="D249" s="27"/>
    </row>
    <row r="250" spans="2:10" x14ac:dyDescent="0.2">
      <c r="B250" s="56">
        <v>1</v>
      </c>
      <c r="C250" s="66" t="e">
        <f>VLOOKUP(B250,'DADOS DOS EMPREENDIMENTOS'!$O$42:$FW$82,Apoio!$E$247,FALSE)</f>
        <v>#N/A</v>
      </c>
      <c r="D250" s="67" t="e">
        <f>VLOOKUP(B250,'DADOS DOS EMPREENDIMENTOS'!$O$42:$FW$82,Apoio!$E$247+1,FALSE)</f>
        <v>#N/A</v>
      </c>
      <c r="E250" s="68"/>
      <c r="F250" s="25"/>
    </row>
    <row r="251" spans="2:10" x14ac:dyDescent="0.2">
      <c r="B251" s="56">
        <v>2</v>
      </c>
      <c r="C251" s="66" t="e">
        <f>VLOOKUP(B251,'DADOS DOS EMPREENDIMENTOS'!$O$42:$FW$82,Apoio!$E$247,FALSE)</f>
        <v>#N/A</v>
      </c>
      <c r="D251" s="67" t="e">
        <f>VLOOKUP(B251,'DADOS DOS EMPREENDIMENTOS'!$O$42:$FW$82,Apoio!$E$247+1,FALSE)</f>
        <v>#N/A</v>
      </c>
      <c r="E251" s="68" t="e">
        <f ca="1">IF(B251&gt;$F$248,0,SUM($D$250:D250)*Apoio!$D$246*Apoio!$D$247/12)</f>
        <v>#N/A</v>
      </c>
      <c r="F251" s="25"/>
    </row>
    <row r="252" spans="2:10" x14ac:dyDescent="0.2">
      <c r="B252" s="56">
        <v>3</v>
      </c>
      <c r="C252" s="66" t="e">
        <f>VLOOKUP(B252,'DADOS DOS EMPREENDIMENTOS'!$O$42:$FW$82,Apoio!$E$247,FALSE)</f>
        <v>#N/A</v>
      </c>
      <c r="D252" s="67" t="e">
        <f>VLOOKUP(B252,'DADOS DOS EMPREENDIMENTOS'!$O$42:$FW$82,Apoio!$E$247+1,FALSE)</f>
        <v>#N/A</v>
      </c>
      <c r="E252" s="68" t="e">
        <f ca="1">IF(B252&gt;$F$248,0,SUM($D$250:D251)*Apoio!$D$246*Apoio!$D$247/12)</f>
        <v>#N/A</v>
      </c>
      <c r="F252" s="25"/>
    </row>
    <row r="253" spans="2:10" x14ac:dyDescent="0.2">
      <c r="B253" s="56">
        <v>4</v>
      </c>
      <c r="C253" s="66" t="e">
        <f>VLOOKUP(B253,'DADOS DOS EMPREENDIMENTOS'!$O$42:$FW$82,Apoio!$E$247,FALSE)</f>
        <v>#N/A</v>
      </c>
      <c r="D253" s="67" t="e">
        <f>VLOOKUP(B253,'DADOS DOS EMPREENDIMENTOS'!$O$42:$FW$82,Apoio!$E$247+1,FALSE)</f>
        <v>#N/A</v>
      </c>
      <c r="E253" s="68" t="e">
        <f ca="1">IF(B253&gt;$F$248,0,SUM($D$250:D252)*Apoio!$D$246*Apoio!$D$247/12)</f>
        <v>#N/A</v>
      </c>
      <c r="F253" s="25"/>
    </row>
    <row r="254" spans="2:10" x14ac:dyDescent="0.2">
      <c r="B254" s="56">
        <v>5</v>
      </c>
      <c r="C254" s="66" t="e">
        <f>VLOOKUP(B254,'DADOS DOS EMPREENDIMENTOS'!$O$42:$FW$82,Apoio!$E$247,FALSE)</f>
        <v>#N/A</v>
      </c>
      <c r="D254" s="67" t="e">
        <f>VLOOKUP(B254,'DADOS DOS EMPREENDIMENTOS'!$O$42:$FW$82,Apoio!$E$247+1,FALSE)</f>
        <v>#N/A</v>
      </c>
      <c r="E254" s="68" t="e">
        <f ca="1">IF(B254&gt;$F$248,0,SUM($D$250:D253)*Apoio!$D$246*Apoio!$D$247/12)</f>
        <v>#N/A</v>
      </c>
      <c r="F254" s="25"/>
    </row>
    <row r="255" spans="2:10" x14ac:dyDescent="0.2">
      <c r="B255" s="56">
        <v>6</v>
      </c>
      <c r="C255" s="66" t="e">
        <f>VLOOKUP(B255,'DADOS DOS EMPREENDIMENTOS'!$O$42:$FW$82,Apoio!$E$247,FALSE)</f>
        <v>#N/A</v>
      </c>
      <c r="D255" s="67" t="e">
        <f>VLOOKUP(B255,'DADOS DOS EMPREENDIMENTOS'!$O$42:$FW$82,Apoio!$E$247+1,FALSE)</f>
        <v>#N/A</v>
      </c>
      <c r="E255" s="68" t="e">
        <f ca="1">IF(B255&gt;$F$248,0,SUM($D$250:D254)*Apoio!$D$246*Apoio!$D$247/12)</f>
        <v>#N/A</v>
      </c>
      <c r="F255" s="25"/>
    </row>
    <row r="256" spans="2:10" x14ac:dyDescent="0.2">
      <c r="B256" s="56">
        <v>7</v>
      </c>
      <c r="C256" s="66" t="e">
        <f>VLOOKUP(B256,'DADOS DOS EMPREENDIMENTOS'!$O$42:$FW$82,Apoio!$E$247,FALSE)</f>
        <v>#N/A</v>
      </c>
      <c r="D256" s="67" t="e">
        <f>VLOOKUP(B256,'DADOS DOS EMPREENDIMENTOS'!$O$42:$FW$82,Apoio!$E$247+1,FALSE)</f>
        <v>#N/A</v>
      </c>
      <c r="E256" s="68" t="e">
        <f ca="1">IF(B256&gt;$F$248,0,SUM($D$250:D255)*Apoio!$D$246*Apoio!$D$247/12)</f>
        <v>#N/A</v>
      </c>
      <c r="F256" s="25"/>
    </row>
    <row r="257" spans="2:6" x14ac:dyDescent="0.2">
      <c r="B257" s="56">
        <v>8</v>
      </c>
      <c r="C257" s="66" t="e">
        <f>VLOOKUP(B257,'DADOS DOS EMPREENDIMENTOS'!$O$42:$FW$82,Apoio!$E$247,FALSE)</f>
        <v>#N/A</v>
      </c>
      <c r="D257" s="67" t="e">
        <f>VLOOKUP(B257,'DADOS DOS EMPREENDIMENTOS'!$O$42:$FW$82,Apoio!$E$247+1,FALSE)</f>
        <v>#N/A</v>
      </c>
      <c r="E257" s="68" t="e">
        <f ca="1">IF(B257&gt;$F$248,0,SUM($D$250:D256)*Apoio!$D$246*Apoio!$D$247/12)</f>
        <v>#N/A</v>
      </c>
      <c r="F257" s="25"/>
    </row>
    <row r="258" spans="2:6" x14ac:dyDescent="0.2">
      <c r="B258" s="56">
        <v>9</v>
      </c>
      <c r="C258" s="66" t="e">
        <f>VLOOKUP(B258,'DADOS DOS EMPREENDIMENTOS'!$O$42:$FW$82,Apoio!$E$247,FALSE)</f>
        <v>#N/A</v>
      </c>
      <c r="D258" s="67" t="e">
        <f>VLOOKUP(B258,'DADOS DOS EMPREENDIMENTOS'!$O$42:$FW$82,Apoio!$E$247+1,FALSE)</f>
        <v>#N/A</v>
      </c>
      <c r="E258" s="68" t="e">
        <f ca="1">IF(B258&gt;$F$248,0,SUM($D$250:D257)*Apoio!$D$246*Apoio!$D$247/12)</f>
        <v>#N/A</v>
      </c>
      <c r="F258" s="25"/>
    </row>
    <row r="259" spans="2:6" x14ac:dyDescent="0.2">
      <c r="B259" s="56">
        <v>10</v>
      </c>
      <c r="C259" s="66" t="e">
        <f>VLOOKUP(B259,'DADOS DOS EMPREENDIMENTOS'!$O$42:$FW$82,Apoio!$E$247,FALSE)</f>
        <v>#N/A</v>
      </c>
      <c r="D259" s="67" t="e">
        <f>VLOOKUP(B259,'DADOS DOS EMPREENDIMENTOS'!$O$42:$FW$82,Apoio!$E$247+1,FALSE)</f>
        <v>#N/A</v>
      </c>
      <c r="E259" s="68" t="e">
        <f ca="1">IF(B259&gt;$F$248,0,SUM($D$250:D258)*Apoio!$D$246*Apoio!$D$247/12)</f>
        <v>#N/A</v>
      </c>
      <c r="F259" s="25"/>
    </row>
    <row r="260" spans="2:6" x14ac:dyDescent="0.2">
      <c r="B260" s="56">
        <v>11</v>
      </c>
      <c r="C260" s="66" t="e">
        <f>VLOOKUP(B260,'DADOS DOS EMPREENDIMENTOS'!$O$42:$FW$82,Apoio!$E$247,FALSE)</f>
        <v>#N/A</v>
      </c>
      <c r="D260" s="67" t="e">
        <f>VLOOKUP(B260,'DADOS DOS EMPREENDIMENTOS'!$O$42:$FW$82,Apoio!$E$247+1,FALSE)</f>
        <v>#N/A</v>
      </c>
      <c r="E260" s="68" t="e">
        <f ca="1">IF(B260&gt;$F$248,0,SUM($D$250:D259)*Apoio!$D$246*Apoio!$D$247/12)</f>
        <v>#N/A</v>
      </c>
      <c r="F260" s="25"/>
    </row>
    <row r="261" spans="2:6" x14ac:dyDescent="0.2">
      <c r="B261" s="56">
        <v>12</v>
      </c>
      <c r="C261" s="66" t="e">
        <f>VLOOKUP(B261,'DADOS DOS EMPREENDIMENTOS'!$O$42:$FW$82,Apoio!$E$247,FALSE)</f>
        <v>#N/A</v>
      </c>
      <c r="D261" s="67" t="e">
        <f>VLOOKUP(B261,'DADOS DOS EMPREENDIMENTOS'!$O$42:$FW$82,Apoio!$E$247+1,FALSE)</f>
        <v>#N/A</v>
      </c>
      <c r="E261" s="68" t="e">
        <f ca="1">IF(B261&gt;$F$248,0,SUM($D$250:D260)*Apoio!$D$246*Apoio!$D$247/12)</f>
        <v>#N/A</v>
      </c>
      <c r="F261" s="25"/>
    </row>
    <row r="262" spans="2:6" x14ac:dyDescent="0.2">
      <c r="B262" s="56">
        <v>13</v>
      </c>
      <c r="C262" s="66" t="e">
        <f>VLOOKUP(B262,'DADOS DOS EMPREENDIMENTOS'!$O$42:$FW$82,Apoio!$E$247,FALSE)</f>
        <v>#N/A</v>
      </c>
      <c r="D262" s="67" t="e">
        <f>VLOOKUP(B262,'DADOS DOS EMPREENDIMENTOS'!$O$42:$FW$82,Apoio!$E$247+1,FALSE)</f>
        <v>#N/A</v>
      </c>
      <c r="E262" s="68" t="e">
        <f ca="1">IF(B262&gt;$F$248,0,SUM($D$250:D261)*Apoio!$D$246*Apoio!$D$247/12)</f>
        <v>#N/A</v>
      </c>
      <c r="F262" s="25"/>
    </row>
    <row r="263" spans="2:6" x14ac:dyDescent="0.2">
      <c r="B263" s="56">
        <v>14</v>
      </c>
      <c r="C263" s="66" t="e">
        <f>VLOOKUP(B263,'DADOS DOS EMPREENDIMENTOS'!$O$42:$FW$82,Apoio!$E$247,FALSE)</f>
        <v>#N/A</v>
      </c>
      <c r="D263" s="67" t="e">
        <f>VLOOKUP(B263,'DADOS DOS EMPREENDIMENTOS'!$O$42:$FW$82,Apoio!$E$247+1,FALSE)</f>
        <v>#N/A</v>
      </c>
      <c r="E263" s="68" t="e">
        <f ca="1">IF(B263&gt;$F$248,0,SUM($D$250:D262)*Apoio!$D$246*Apoio!$D$247/12)</f>
        <v>#N/A</v>
      </c>
      <c r="F263" s="25"/>
    </row>
    <row r="264" spans="2:6" x14ac:dyDescent="0.2">
      <c r="B264" s="56">
        <v>15</v>
      </c>
      <c r="C264" s="66" t="e">
        <f>VLOOKUP(B264,'DADOS DOS EMPREENDIMENTOS'!$O$42:$FW$82,Apoio!$E$247,FALSE)</f>
        <v>#N/A</v>
      </c>
      <c r="D264" s="67" t="e">
        <f>VLOOKUP(B264,'DADOS DOS EMPREENDIMENTOS'!$O$42:$FW$82,Apoio!$E$247+1,FALSE)</f>
        <v>#N/A</v>
      </c>
      <c r="E264" s="68" t="e">
        <f ca="1">IF(B264&gt;$F$248,0,SUM($D$250:D263)*Apoio!$D$246*Apoio!$D$247/12)</f>
        <v>#N/A</v>
      </c>
      <c r="F264" s="25"/>
    </row>
    <row r="265" spans="2:6" x14ac:dyDescent="0.2">
      <c r="B265" s="56">
        <v>16</v>
      </c>
      <c r="C265" s="66" t="e">
        <f>VLOOKUP(B265,'DADOS DOS EMPREENDIMENTOS'!$O$42:$FW$82,Apoio!$E$247,FALSE)</f>
        <v>#N/A</v>
      </c>
      <c r="D265" s="67" t="e">
        <f>VLOOKUP(B265,'DADOS DOS EMPREENDIMENTOS'!$O$42:$FW$82,Apoio!$E$247+1,FALSE)</f>
        <v>#N/A</v>
      </c>
      <c r="E265" s="68" t="e">
        <f ca="1">IF(B265&gt;$F$248,0,SUM($D$250:D264)*Apoio!$D$246*Apoio!$D$247/12)</f>
        <v>#N/A</v>
      </c>
      <c r="F265" s="25"/>
    </row>
    <row r="266" spans="2:6" x14ac:dyDescent="0.2">
      <c r="B266" s="56">
        <v>17</v>
      </c>
      <c r="C266" s="66" t="e">
        <f>VLOOKUP(B266,'DADOS DOS EMPREENDIMENTOS'!$O$42:$FW$82,Apoio!$E$247,FALSE)</f>
        <v>#N/A</v>
      </c>
      <c r="D266" s="67" t="e">
        <f>VLOOKUP(B266,'DADOS DOS EMPREENDIMENTOS'!$O$42:$FW$82,Apoio!$E$247+1,FALSE)</f>
        <v>#N/A</v>
      </c>
      <c r="E266" s="68" t="e">
        <f ca="1">IF(B266&gt;$F$248,0,SUM($D$250:D265)*Apoio!$D$246*Apoio!$D$247/12)</f>
        <v>#N/A</v>
      </c>
      <c r="F266" s="25"/>
    </row>
    <row r="267" spans="2:6" x14ac:dyDescent="0.2">
      <c r="B267" s="56">
        <v>18</v>
      </c>
      <c r="C267" s="66" t="e">
        <f>VLOOKUP(B267,'DADOS DOS EMPREENDIMENTOS'!$O$42:$FW$82,Apoio!$E$247,FALSE)</f>
        <v>#N/A</v>
      </c>
      <c r="D267" s="67" t="e">
        <f>VLOOKUP(B267,'DADOS DOS EMPREENDIMENTOS'!$O$42:$FW$82,Apoio!$E$247+1,FALSE)</f>
        <v>#N/A</v>
      </c>
      <c r="E267" s="68" t="e">
        <f ca="1">IF(B267&gt;$F$248,0,SUM($D$250:D266)*Apoio!$D$246*Apoio!$D$247/12)</f>
        <v>#N/A</v>
      </c>
      <c r="F267" s="25"/>
    </row>
    <row r="268" spans="2:6" x14ac:dyDescent="0.2">
      <c r="B268" s="56">
        <v>19</v>
      </c>
      <c r="C268" s="66" t="e">
        <f>VLOOKUP(B268,'DADOS DOS EMPREENDIMENTOS'!$O$42:$FW$82,Apoio!$E$247,FALSE)</f>
        <v>#N/A</v>
      </c>
      <c r="D268" s="67" t="e">
        <f>VLOOKUP(B268,'DADOS DOS EMPREENDIMENTOS'!$O$42:$FW$82,Apoio!$E$247+1,FALSE)</f>
        <v>#N/A</v>
      </c>
      <c r="E268" s="68" t="e">
        <f ca="1">IF(B268&gt;$F$248,0,SUM($D$250:D267)*Apoio!$D$246*Apoio!$D$247/12)</f>
        <v>#N/A</v>
      </c>
      <c r="F268" s="25"/>
    </row>
    <row r="269" spans="2:6" x14ac:dyDescent="0.2">
      <c r="B269" s="56">
        <v>20</v>
      </c>
      <c r="C269" s="66" t="e">
        <f>VLOOKUP(B269,'DADOS DOS EMPREENDIMENTOS'!$O$42:$FW$82,Apoio!$E$247,FALSE)</f>
        <v>#N/A</v>
      </c>
      <c r="D269" s="67" t="e">
        <f>VLOOKUP(B269,'DADOS DOS EMPREENDIMENTOS'!$O$42:$FW$82,Apoio!$E$247+1,FALSE)</f>
        <v>#N/A</v>
      </c>
      <c r="E269" s="68" t="e">
        <f ca="1">IF(B269&gt;$F$248,0,SUM($D$250:D268)*Apoio!$D$246*Apoio!$D$247/12)</f>
        <v>#N/A</v>
      </c>
      <c r="F269" s="25"/>
    </row>
    <row r="270" spans="2:6" x14ac:dyDescent="0.2">
      <c r="B270" s="56">
        <v>21</v>
      </c>
      <c r="C270" s="66" t="e">
        <f>VLOOKUP(B270,'DADOS DOS EMPREENDIMENTOS'!$O$42:$FW$82,Apoio!$E$247,FALSE)</f>
        <v>#N/A</v>
      </c>
      <c r="D270" s="67" t="e">
        <f>VLOOKUP(B270,'DADOS DOS EMPREENDIMENTOS'!$O$42:$FW$82,Apoio!$E$247+1,FALSE)</f>
        <v>#N/A</v>
      </c>
      <c r="E270" s="68" t="e">
        <f ca="1">IF(B270&gt;$F$248,0,SUM($D$250:D269)*Apoio!$D$246*Apoio!$D$247/12)</f>
        <v>#N/A</v>
      </c>
      <c r="F270" s="25"/>
    </row>
    <row r="271" spans="2:6" x14ac:dyDescent="0.2">
      <c r="B271" s="56">
        <v>22</v>
      </c>
      <c r="C271" s="66" t="e">
        <f>VLOOKUP(B271,'DADOS DOS EMPREENDIMENTOS'!$O$42:$FW$82,Apoio!$E$247,FALSE)</f>
        <v>#N/A</v>
      </c>
      <c r="D271" s="67" t="e">
        <f>VLOOKUP(B271,'DADOS DOS EMPREENDIMENTOS'!$O$42:$FW$82,Apoio!$E$247+1,FALSE)</f>
        <v>#N/A</v>
      </c>
      <c r="E271" s="68" t="e">
        <f ca="1">IF(B271&gt;$F$248,0,SUM($D$250:D270)*Apoio!$D$246*Apoio!$D$247/12)</f>
        <v>#N/A</v>
      </c>
      <c r="F271" s="25"/>
    </row>
    <row r="272" spans="2:6" x14ac:dyDescent="0.2">
      <c r="B272" s="56">
        <v>23</v>
      </c>
      <c r="C272" s="66" t="e">
        <f>VLOOKUP(B272,'DADOS DOS EMPREENDIMENTOS'!$O$42:$FW$82,Apoio!$E$247,FALSE)</f>
        <v>#N/A</v>
      </c>
      <c r="D272" s="67" t="e">
        <f>VLOOKUP(B272,'DADOS DOS EMPREENDIMENTOS'!$O$42:$FW$82,Apoio!$E$247+1,FALSE)</f>
        <v>#N/A</v>
      </c>
      <c r="E272" s="68" t="e">
        <f ca="1">IF(B272&gt;$F$248,0,SUM($D$250:D271)*Apoio!$D$246*Apoio!$D$247/12)</f>
        <v>#N/A</v>
      </c>
      <c r="F272" s="25"/>
    </row>
    <row r="273" spans="2:6" x14ac:dyDescent="0.2">
      <c r="B273" s="56">
        <v>24</v>
      </c>
      <c r="C273" s="66" t="e">
        <f>VLOOKUP(B273,'DADOS DOS EMPREENDIMENTOS'!$O$42:$FW$82,Apoio!$E$247,FALSE)</f>
        <v>#N/A</v>
      </c>
      <c r="D273" s="67" t="e">
        <f>VLOOKUP(B273,'DADOS DOS EMPREENDIMENTOS'!$O$42:$FW$82,Apoio!$E$247+1,FALSE)</f>
        <v>#N/A</v>
      </c>
      <c r="E273" s="68" t="e">
        <f ca="1">IF(B273&gt;$F$248,0,SUM($D$250:D272)*Apoio!$D$246*Apoio!$D$247/12)</f>
        <v>#N/A</v>
      </c>
      <c r="F273" s="25"/>
    </row>
    <row r="274" spans="2:6" x14ac:dyDescent="0.2">
      <c r="B274" s="56">
        <v>25</v>
      </c>
      <c r="C274" s="66" t="e">
        <f>VLOOKUP(B274,'DADOS DOS EMPREENDIMENTOS'!$O$42:$FW$82,Apoio!$E$247,FALSE)</f>
        <v>#N/A</v>
      </c>
      <c r="D274" s="67" t="e">
        <f>VLOOKUP(B274,'DADOS DOS EMPREENDIMENTOS'!$O$42:$FW$82,Apoio!$E$247+1,FALSE)</f>
        <v>#N/A</v>
      </c>
      <c r="E274" s="68" t="e">
        <f ca="1">IF(B274&gt;$F$248,0,SUM($D$250:D273)*Apoio!$D$246*Apoio!$D$247/12)</f>
        <v>#N/A</v>
      </c>
      <c r="F274" s="25"/>
    </row>
    <row r="275" spans="2:6" x14ac:dyDescent="0.2">
      <c r="B275" s="56">
        <v>26</v>
      </c>
      <c r="C275" s="66" t="e">
        <f>VLOOKUP(B275,'DADOS DOS EMPREENDIMENTOS'!$O$42:$FW$82,Apoio!$E$247,FALSE)</f>
        <v>#N/A</v>
      </c>
      <c r="D275" s="67" t="e">
        <f>VLOOKUP(B275,'DADOS DOS EMPREENDIMENTOS'!$O$42:$FW$82,Apoio!$E$247+1,FALSE)</f>
        <v>#N/A</v>
      </c>
      <c r="E275" s="68" t="e">
        <f ca="1">IF(B275&gt;$F$248,0,SUM($D$250:D274)*Apoio!$D$246*Apoio!$D$247/12)</f>
        <v>#N/A</v>
      </c>
      <c r="F275" s="25"/>
    </row>
    <row r="276" spans="2:6" x14ac:dyDescent="0.2">
      <c r="B276" s="56">
        <v>27</v>
      </c>
      <c r="C276" s="66">
        <f>VLOOKUP(B276,'DADOS DOS EMPREENDIMENTOS'!$O$42:$FW$82,Apoio!$E$247,FALSE)</f>
        <v>240000</v>
      </c>
      <c r="D276" s="67">
        <f>VLOOKUP(B276,'DADOS DOS EMPREENDIMENTOS'!$O$42:$FW$82,Apoio!$E$247+1,FALSE)</f>
        <v>240000</v>
      </c>
      <c r="E276" s="68" t="e">
        <f ca="1">IF(B276&gt;$F$248,0,SUM($D$250:D275)*Apoio!$D$246*Apoio!$D$247/12)</f>
        <v>#N/A</v>
      </c>
      <c r="F276" s="25"/>
    </row>
    <row r="277" spans="2:6" x14ac:dyDescent="0.2">
      <c r="B277" s="56">
        <v>28</v>
      </c>
      <c r="C277" s="66">
        <f>VLOOKUP(B277,'DADOS DOS EMPREENDIMENTOS'!$O$42:$FW$82,Apoio!$E$247,FALSE)</f>
        <v>240000</v>
      </c>
      <c r="D277" s="67">
        <f>VLOOKUP(B277,'DADOS DOS EMPREENDIMENTOS'!$O$42:$FW$82,Apoio!$E$247+1,FALSE)</f>
        <v>240000</v>
      </c>
      <c r="E277" s="68" t="e">
        <f ca="1">IF(B277&gt;$F$248,0,SUM($D$250:D276)*Apoio!$D$246*Apoio!$D$247/12)</f>
        <v>#N/A</v>
      </c>
      <c r="F277" s="25"/>
    </row>
    <row r="278" spans="2:6" x14ac:dyDescent="0.2">
      <c r="B278" s="56">
        <v>29</v>
      </c>
      <c r="C278" s="66">
        <f>VLOOKUP(B278,'DADOS DOS EMPREENDIMENTOS'!$O$42:$FW$82,Apoio!$E$247,FALSE)</f>
        <v>240000</v>
      </c>
      <c r="D278" s="67">
        <f>VLOOKUP(B278,'DADOS DOS EMPREENDIMENTOS'!$O$42:$FW$82,Apoio!$E$247+1,FALSE)</f>
        <v>240000</v>
      </c>
      <c r="E278" s="68" t="e">
        <f ca="1">IF(B278&gt;$F$248,0,SUM($D$250:D277)*Apoio!$D$246*Apoio!$D$247/12)</f>
        <v>#N/A</v>
      </c>
      <c r="F278" s="25"/>
    </row>
    <row r="279" spans="2:6" x14ac:dyDescent="0.2">
      <c r="B279" s="56">
        <v>30</v>
      </c>
      <c r="C279" s="66">
        <f>VLOOKUP(B279,'DADOS DOS EMPREENDIMENTOS'!$O$42:$FW$82,Apoio!$E$247,FALSE)</f>
        <v>240000</v>
      </c>
      <c r="D279" s="67">
        <f>VLOOKUP(B279,'DADOS DOS EMPREENDIMENTOS'!$O$42:$FW$82,Apoio!$E$247+1,FALSE)</f>
        <v>240000</v>
      </c>
      <c r="E279" s="68" t="e">
        <f ca="1">IF(B279&gt;$F$248,0,SUM($D$250:D278)*Apoio!$D$246*Apoio!$D$247/12)</f>
        <v>#N/A</v>
      </c>
      <c r="F279" s="25"/>
    </row>
    <row r="280" spans="2:6" x14ac:dyDescent="0.2">
      <c r="B280" s="56">
        <v>31</v>
      </c>
      <c r="C280" s="66">
        <f>VLOOKUP(B280,'DADOS DOS EMPREENDIMENTOS'!$O$42:$FW$82,Apoio!$E$247,FALSE)</f>
        <v>240000</v>
      </c>
      <c r="D280" s="67">
        <f>VLOOKUP(B280,'DADOS DOS EMPREENDIMENTOS'!$O$42:$FW$82,Apoio!$E$247+1,FALSE)</f>
        <v>240000</v>
      </c>
      <c r="E280" s="68" t="e">
        <f ca="1">IF(B280&gt;$F$248,0,SUM($D$250:D279)*Apoio!$D$246*Apoio!$D$247/12)</f>
        <v>#N/A</v>
      </c>
      <c r="F280" s="25"/>
    </row>
    <row r="281" spans="2:6" x14ac:dyDescent="0.2">
      <c r="B281" s="56">
        <v>32</v>
      </c>
      <c r="C281" s="66">
        <f>VLOOKUP(B281,'DADOS DOS EMPREENDIMENTOS'!$O$42:$FW$82,Apoio!$E$247,FALSE)</f>
        <v>240000</v>
      </c>
      <c r="D281" s="67">
        <f>VLOOKUP(B281,'DADOS DOS EMPREENDIMENTOS'!$O$42:$FW$82,Apoio!$E$247+1,FALSE)</f>
        <v>240000</v>
      </c>
      <c r="E281" s="68" t="e">
        <f ca="1">IF(B281&gt;$F$248,0,SUM($D$250:D280)*Apoio!$D$246*Apoio!$D$247/12)</f>
        <v>#N/A</v>
      </c>
      <c r="F281" s="25"/>
    </row>
    <row r="282" spans="2:6" x14ac:dyDescent="0.2">
      <c r="B282" s="56">
        <v>33</v>
      </c>
      <c r="C282" s="66">
        <f>VLOOKUP(B282,'DADOS DOS EMPREENDIMENTOS'!$O$42:$FW$82,Apoio!$E$247,FALSE)</f>
        <v>240000</v>
      </c>
      <c r="D282" s="67">
        <f>VLOOKUP(B282,'DADOS DOS EMPREENDIMENTOS'!$O$42:$FW$82,Apoio!$E$247+1,FALSE)</f>
        <v>240000</v>
      </c>
      <c r="E282" s="68" t="e">
        <f ca="1">IF(B282&gt;$F$248,0,SUM($D$250:D281)*Apoio!$D$246*Apoio!$D$247/12)</f>
        <v>#N/A</v>
      </c>
      <c r="F282" s="25"/>
    </row>
    <row r="283" spans="2:6" x14ac:dyDescent="0.2">
      <c r="B283" s="56">
        <v>34</v>
      </c>
      <c r="C283" s="66">
        <f>VLOOKUP(B283,'DADOS DOS EMPREENDIMENTOS'!$O$42:$FW$82,Apoio!$E$247,FALSE)</f>
        <v>240000</v>
      </c>
      <c r="D283" s="67">
        <f>VLOOKUP(B283,'DADOS DOS EMPREENDIMENTOS'!$O$42:$FW$82,Apoio!$E$247+1,FALSE)</f>
        <v>240000</v>
      </c>
      <c r="E283" s="68" t="e">
        <f ca="1">IF(B283&gt;$F$248,0,SUM($D$250:D282)*Apoio!$D$246*Apoio!$D$247/12)</f>
        <v>#N/A</v>
      </c>
      <c r="F283" s="25"/>
    </row>
    <row r="284" spans="2:6" x14ac:dyDescent="0.2">
      <c r="B284" s="56">
        <v>35</v>
      </c>
      <c r="C284" s="66">
        <f>VLOOKUP(B284,'DADOS DOS EMPREENDIMENTOS'!$O$42:$FW$82,Apoio!$E$247,FALSE)</f>
        <v>240000</v>
      </c>
      <c r="D284" s="67">
        <f>VLOOKUP(B284,'DADOS DOS EMPREENDIMENTOS'!$O$42:$FW$82,Apoio!$E$247+1,FALSE)</f>
        <v>240000</v>
      </c>
      <c r="E284" s="68" t="e">
        <f ca="1">IF(B284&gt;$F$248,0,SUM($D$250:D283)*Apoio!$D$246*Apoio!$D$247/12)</f>
        <v>#N/A</v>
      </c>
      <c r="F284" s="25"/>
    </row>
    <row r="285" spans="2:6" x14ac:dyDescent="0.2">
      <c r="B285" s="56">
        <v>36</v>
      </c>
      <c r="C285" s="66">
        <f>VLOOKUP(B285,'DADOS DOS EMPREENDIMENTOS'!$O$42:$FW$82,Apoio!$E$247,FALSE)</f>
        <v>240000</v>
      </c>
      <c r="D285" s="67">
        <f>VLOOKUP(B285,'DADOS DOS EMPREENDIMENTOS'!$O$42:$FW$82,Apoio!$E$247+1,FALSE)</f>
        <v>240000</v>
      </c>
      <c r="E285" s="68" t="e">
        <f ca="1">IF(B285&gt;$F$248,0,SUM($D$250:D284)*Apoio!$D$246*Apoio!$D$247/12)</f>
        <v>#N/A</v>
      </c>
      <c r="F285" s="25"/>
    </row>
    <row r="286" spans="2:6" x14ac:dyDescent="0.2">
      <c r="B286" s="56">
        <v>37</v>
      </c>
      <c r="C286" s="66">
        <f>VLOOKUP(B286,'DADOS DOS EMPREENDIMENTOS'!$O$42:$FW$82,Apoio!$E$247,FALSE)</f>
        <v>240000</v>
      </c>
      <c r="D286" s="67">
        <f>VLOOKUP(B286,'DADOS DOS EMPREENDIMENTOS'!$O$42:$FW$82,Apoio!$E$247+1,FALSE)</f>
        <v>240000</v>
      </c>
      <c r="E286" s="68" t="e">
        <f ca="1">IF(B286&gt;$F$248,0,SUM($D$250:D285)*Apoio!$D$246*Apoio!$D$247/12)</f>
        <v>#N/A</v>
      </c>
      <c r="F286" s="25"/>
    </row>
    <row r="287" spans="2:6" x14ac:dyDescent="0.2">
      <c r="B287" s="56">
        <v>38</v>
      </c>
      <c r="C287" s="66">
        <f>VLOOKUP(B287,'DADOS DOS EMPREENDIMENTOS'!$O$42:$FW$82,Apoio!$E$247,FALSE)</f>
        <v>240000</v>
      </c>
      <c r="D287" s="67">
        <f>VLOOKUP(B287,'DADOS DOS EMPREENDIMENTOS'!$O$42:$FW$82,Apoio!$E$247+1,FALSE)</f>
        <v>240000</v>
      </c>
      <c r="E287" s="68" t="e">
        <f ca="1">IF(B287&gt;$F$248,0,SUM($D$250:D286)*Apoio!$D$246*Apoio!$D$247/12)</f>
        <v>#N/A</v>
      </c>
      <c r="F287" s="25"/>
    </row>
    <row r="288" spans="2:6" x14ac:dyDescent="0.2">
      <c r="B288" s="56">
        <v>39</v>
      </c>
      <c r="C288" s="66">
        <f>VLOOKUP(B288,'DADOS DOS EMPREENDIMENTOS'!$O$42:$FW$82,Apoio!$E$247,FALSE)</f>
        <v>240000</v>
      </c>
      <c r="D288" s="67">
        <f>VLOOKUP(B288,'DADOS DOS EMPREENDIMENTOS'!$O$42:$FW$82,Apoio!$E$247+1,FALSE)</f>
        <v>240000</v>
      </c>
      <c r="E288" s="68" t="e">
        <f ca="1">IF(B288&gt;$F$248,0,SUM($D$250:D287)*Apoio!$D$246*Apoio!$D$247/12)</f>
        <v>#N/A</v>
      </c>
      <c r="F288" s="25"/>
    </row>
    <row r="289" spans="2:6" x14ac:dyDescent="0.2">
      <c r="B289" s="56">
        <v>40</v>
      </c>
      <c r="C289" s="66">
        <f>VLOOKUP(B289,'DADOS DOS EMPREENDIMENTOS'!$O$42:$FW$82,Apoio!$E$247,FALSE)</f>
        <v>240000</v>
      </c>
      <c r="D289" s="67">
        <f>VLOOKUP(B289,'DADOS DOS EMPREENDIMENTOS'!$O$42:$FW$82,Apoio!$E$247+1,FALSE)</f>
        <v>240000</v>
      </c>
      <c r="E289" s="68" t="e">
        <f ca="1">IF(B289&gt;$F$248,0,SUM($D$250:D288)*Apoio!$D$246*Apoio!$D$247/12)</f>
        <v>#N/A</v>
      </c>
      <c r="F289" s="25"/>
    </row>
  </sheetData>
  <sheetProtection algorithmName="SHA-512" hashValue="Wqe1FZq4VDxL+h9Fp755XxSCNvOdVzfKivhPIb1QESqTkhkrpCQlENZn93eNOsDWhLpvClcInHh5cphRx+OUqQ==" saltValue="7gNC2nNGLqdq6JcCONohWA==" spinCount="100000" sheet="1" objects="1" scenarios="1"/>
  <autoFilter ref="A8:J243"/>
  <mergeCells count="5">
    <mergeCell ref="B245:E245"/>
    <mergeCell ref="B1:E1"/>
    <mergeCell ref="D3:E3"/>
    <mergeCell ref="B6:B8"/>
    <mergeCell ref="B5:E5"/>
  </mergeCells>
  <phoneticPr fontId="3" type="noConversion"/>
  <conditionalFormatting sqref="H9:H243">
    <cfRule type="cellIs" dxfId="33" priority="1" operator="between">
      <formula>$I$8</formula>
      <formula>$J$8</formula>
    </cfRule>
    <cfRule type="cellIs" dxfId="32" priority="2" operator="between">
      <formula>$H$9</formula>
      <formula>$H$9</formula>
    </cfRule>
  </conditionalFormatting>
  <pageMargins left="0.75" right="0.75" top="1" bottom="1" header="0.49212598499999999" footer="0.49212598499999999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H242"/>
  <sheetViews>
    <sheetView workbookViewId="0">
      <selection activeCell="H8" sqref="H8"/>
    </sheetView>
  </sheetViews>
  <sheetFormatPr defaultRowHeight="12.75" x14ac:dyDescent="0.2"/>
  <cols>
    <col min="4" max="4" width="14.28515625" bestFit="1" customWidth="1"/>
    <col min="6" max="6" width="10.7109375" bestFit="1" customWidth="1"/>
    <col min="7" max="7" width="14.28515625" bestFit="1" customWidth="1"/>
  </cols>
  <sheetData>
    <row r="1" spans="1:8" ht="15" x14ac:dyDescent="0.25">
      <c r="B1" s="629" t="s">
        <v>439</v>
      </c>
      <c r="C1" s="629"/>
      <c r="D1" s="630" t="s">
        <v>440</v>
      </c>
    </row>
    <row r="2" spans="1:8" ht="15" x14ac:dyDescent="0.25">
      <c r="B2" s="631"/>
      <c r="C2" s="631"/>
      <c r="D2" s="632"/>
    </row>
    <row r="3" spans="1:8" ht="15" x14ac:dyDescent="0.25">
      <c r="A3" s="346" t="s">
        <v>443</v>
      </c>
      <c r="B3" s="637" t="s">
        <v>439</v>
      </c>
      <c r="C3" s="637" t="s">
        <v>442</v>
      </c>
      <c r="D3" s="633" t="s">
        <v>441</v>
      </c>
      <c r="H3" s="346" t="s">
        <v>450</v>
      </c>
    </row>
    <row r="4" spans="1:8" x14ac:dyDescent="0.2">
      <c r="A4">
        <v>1</v>
      </c>
      <c r="B4" s="634">
        <v>101</v>
      </c>
      <c r="C4" s="634" t="str">
        <f>A4&amp;"/"&amp;B4</f>
        <v>1/101</v>
      </c>
      <c r="D4" s="641">
        <v>208700</v>
      </c>
      <c r="G4" s="346" t="s">
        <v>208</v>
      </c>
      <c r="H4">
        <v>0</v>
      </c>
    </row>
    <row r="5" spans="1:8" x14ac:dyDescent="0.2">
      <c r="A5">
        <v>1</v>
      </c>
      <c r="B5" s="634">
        <v>102</v>
      </c>
      <c r="C5" s="634" t="str">
        <f t="shared" ref="C5:C68" si="0">A5&amp;"/"&amp;B5</f>
        <v>1/102</v>
      </c>
      <c r="D5" s="641">
        <v>205000</v>
      </c>
      <c r="F5" s="638"/>
      <c r="G5" s="649" t="s">
        <v>209</v>
      </c>
      <c r="H5">
        <v>1</v>
      </c>
    </row>
    <row r="6" spans="1:8" x14ac:dyDescent="0.2">
      <c r="A6">
        <v>1</v>
      </c>
      <c r="B6" s="634">
        <v>103</v>
      </c>
      <c r="C6" s="634" t="str">
        <f t="shared" si="0"/>
        <v>1/103</v>
      </c>
      <c r="D6" s="641">
        <v>200600</v>
      </c>
      <c r="H6">
        <v>2</v>
      </c>
    </row>
    <row r="7" spans="1:8" x14ac:dyDescent="0.2">
      <c r="A7">
        <v>1</v>
      </c>
      <c r="B7" s="635">
        <v>104</v>
      </c>
      <c r="C7" s="634" t="str">
        <f t="shared" si="0"/>
        <v>1/104</v>
      </c>
      <c r="D7" s="641">
        <v>204200</v>
      </c>
      <c r="H7">
        <v>3</v>
      </c>
    </row>
    <row r="8" spans="1:8" x14ac:dyDescent="0.2">
      <c r="A8">
        <v>1</v>
      </c>
      <c r="B8" s="634">
        <v>105</v>
      </c>
      <c r="C8" s="634" t="str">
        <f t="shared" si="0"/>
        <v>1/105</v>
      </c>
      <c r="D8" s="641">
        <v>204200</v>
      </c>
    </row>
    <row r="9" spans="1:8" x14ac:dyDescent="0.2">
      <c r="A9">
        <v>1</v>
      </c>
      <c r="B9" s="634">
        <v>106</v>
      </c>
      <c r="C9" s="634" t="str">
        <f t="shared" si="0"/>
        <v>1/106</v>
      </c>
      <c r="D9" s="641">
        <v>200600</v>
      </c>
    </row>
    <row r="10" spans="1:8" x14ac:dyDescent="0.2">
      <c r="A10">
        <v>1</v>
      </c>
      <c r="B10" s="636">
        <v>201</v>
      </c>
      <c r="C10" s="634" t="str">
        <f t="shared" si="0"/>
        <v>1/201</v>
      </c>
      <c r="D10" s="641">
        <v>215500</v>
      </c>
    </row>
    <row r="11" spans="1:8" x14ac:dyDescent="0.2">
      <c r="A11">
        <v>1</v>
      </c>
      <c r="B11" s="636">
        <v>202</v>
      </c>
      <c r="C11" s="634" t="str">
        <f t="shared" si="0"/>
        <v>1/202</v>
      </c>
      <c r="D11" s="641">
        <v>211600</v>
      </c>
    </row>
    <row r="12" spans="1:8" x14ac:dyDescent="0.2">
      <c r="A12">
        <v>1</v>
      </c>
      <c r="B12" s="636">
        <v>203</v>
      </c>
      <c r="C12" s="634" t="str">
        <f t="shared" si="0"/>
        <v>1/203</v>
      </c>
      <c r="D12" s="641">
        <v>207100</v>
      </c>
    </row>
    <row r="13" spans="1:8" x14ac:dyDescent="0.2">
      <c r="A13">
        <v>1</v>
      </c>
      <c r="B13" s="636">
        <v>204</v>
      </c>
      <c r="C13" s="634" t="str">
        <f t="shared" si="0"/>
        <v>1/204</v>
      </c>
      <c r="D13" s="641">
        <v>210800</v>
      </c>
    </row>
    <row r="14" spans="1:8" x14ac:dyDescent="0.2">
      <c r="A14">
        <v>1</v>
      </c>
      <c r="B14" s="636">
        <v>205</v>
      </c>
      <c r="C14" s="634" t="str">
        <f t="shared" si="0"/>
        <v>1/205</v>
      </c>
      <c r="D14" s="641">
        <v>210800</v>
      </c>
    </row>
    <row r="15" spans="1:8" x14ac:dyDescent="0.2">
      <c r="A15">
        <v>1</v>
      </c>
      <c r="B15" s="636">
        <v>206</v>
      </c>
      <c r="C15" s="634" t="str">
        <f t="shared" si="0"/>
        <v>1/206</v>
      </c>
      <c r="D15" s="641">
        <v>207100</v>
      </c>
    </row>
    <row r="16" spans="1:8" x14ac:dyDescent="0.2">
      <c r="A16">
        <v>1</v>
      </c>
      <c r="B16" s="636">
        <v>207</v>
      </c>
      <c r="C16" s="634" t="str">
        <f t="shared" si="0"/>
        <v>1/207</v>
      </c>
      <c r="D16" s="641">
        <v>211600</v>
      </c>
    </row>
    <row r="17" spans="1:4" x14ac:dyDescent="0.2">
      <c r="A17">
        <v>1</v>
      </c>
      <c r="B17" s="636">
        <v>208</v>
      </c>
      <c r="C17" s="634" t="str">
        <f t="shared" si="0"/>
        <v>1/208</v>
      </c>
      <c r="D17" s="641">
        <v>215500</v>
      </c>
    </row>
    <row r="18" spans="1:4" x14ac:dyDescent="0.2">
      <c r="A18">
        <v>1</v>
      </c>
      <c r="B18" s="636">
        <v>301</v>
      </c>
      <c r="C18" s="634" t="str">
        <f t="shared" si="0"/>
        <v>1/301</v>
      </c>
      <c r="D18" s="641">
        <v>215500</v>
      </c>
    </row>
    <row r="19" spans="1:4" x14ac:dyDescent="0.2">
      <c r="A19">
        <v>1</v>
      </c>
      <c r="B19" s="636">
        <v>302</v>
      </c>
      <c r="C19" s="634" t="str">
        <f t="shared" si="0"/>
        <v>1/302</v>
      </c>
      <c r="D19" s="641">
        <v>211600</v>
      </c>
    </row>
    <row r="20" spans="1:4" x14ac:dyDescent="0.2">
      <c r="A20">
        <v>1</v>
      </c>
      <c r="B20" s="636">
        <v>303</v>
      </c>
      <c r="C20" s="634" t="str">
        <f t="shared" si="0"/>
        <v>1/303</v>
      </c>
      <c r="D20" s="641">
        <v>207100</v>
      </c>
    </row>
    <row r="21" spans="1:4" x14ac:dyDescent="0.2">
      <c r="A21">
        <v>1</v>
      </c>
      <c r="B21" s="635">
        <v>304</v>
      </c>
      <c r="C21" s="634" t="str">
        <f t="shared" si="0"/>
        <v>1/304</v>
      </c>
      <c r="D21" s="641">
        <v>210800</v>
      </c>
    </row>
    <row r="22" spans="1:4" x14ac:dyDescent="0.2">
      <c r="A22">
        <v>1</v>
      </c>
      <c r="B22" s="636">
        <v>305</v>
      </c>
      <c r="C22" s="634" t="str">
        <f t="shared" si="0"/>
        <v>1/305</v>
      </c>
      <c r="D22" s="641">
        <v>210800</v>
      </c>
    </row>
    <row r="23" spans="1:4" x14ac:dyDescent="0.2">
      <c r="A23">
        <v>1</v>
      </c>
      <c r="B23" s="636">
        <v>306</v>
      </c>
      <c r="C23" s="634" t="str">
        <f t="shared" si="0"/>
        <v>1/306</v>
      </c>
      <c r="D23" s="641">
        <v>207100</v>
      </c>
    </row>
    <row r="24" spans="1:4" x14ac:dyDescent="0.2">
      <c r="A24">
        <v>1</v>
      </c>
      <c r="B24" s="636">
        <v>307</v>
      </c>
      <c r="C24" s="634" t="str">
        <f t="shared" si="0"/>
        <v>1/307</v>
      </c>
      <c r="D24" s="641">
        <v>211600</v>
      </c>
    </row>
    <row r="25" spans="1:4" x14ac:dyDescent="0.2">
      <c r="A25">
        <v>1</v>
      </c>
      <c r="B25" s="636">
        <v>308</v>
      </c>
      <c r="C25" s="634" t="str">
        <f t="shared" si="0"/>
        <v>1/308</v>
      </c>
      <c r="D25" s="641">
        <v>215500</v>
      </c>
    </row>
    <row r="26" spans="1:4" x14ac:dyDescent="0.2">
      <c r="A26">
        <v>1</v>
      </c>
      <c r="B26" s="636">
        <v>401</v>
      </c>
      <c r="C26" s="634" t="str">
        <f t="shared" si="0"/>
        <v>1/401</v>
      </c>
      <c r="D26" s="641">
        <v>233000</v>
      </c>
    </row>
    <row r="27" spans="1:4" x14ac:dyDescent="0.2">
      <c r="A27">
        <v>1</v>
      </c>
      <c r="B27" s="636">
        <v>402</v>
      </c>
      <c r="C27" s="634" t="str">
        <f t="shared" si="0"/>
        <v>1/402</v>
      </c>
      <c r="D27" s="641">
        <v>229100</v>
      </c>
    </row>
    <row r="28" spans="1:4" x14ac:dyDescent="0.2">
      <c r="A28">
        <v>1</v>
      </c>
      <c r="B28" s="636">
        <v>403</v>
      </c>
      <c r="C28" s="634" t="str">
        <f t="shared" si="0"/>
        <v>1/403</v>
      </c>
      <c r="D28" s="641">
        <v>207100</v>
      </c>
    </row>
    <row r="29" spans="1:4" x14ac:dyDescent="0.2">
      <c r="A29">
        <v>1</v>
      </c>
      <c r="B29" s="636">
        <v>404</v>
      </c>
      <c r="C29" s="634" t="str">
        <f t="shared" si="0"/>
        <v>1/404</v>
      </c>
      <c r="D29" s="641">
        <v>210800</v>
      </c>
    </row>
    <row r="30" spans="1:4" x14ac:dyDescent="0.2">
      <c r="A30">
        <v>1</v>
      </c>
      <c r="B30" s="636">
        <v>405</v>
      </c>
      <c r="C30" s="634" t="str">
        <f t="shared" si="0"/>
        <v>1/405</v>
      </c>
      <c r="D30" s="641">
        <v>210800</v>
      </c>
    </row>
    <row r="31" spans="1:4" x14ac:dyDescent="0.2">
      <c r="A31">
        <v>1</v>
      </c>
      <c r="B31" s="636">
        <v>406</v>
      </c>
      <c r="C31" s="634" t="str">
        <f t="shared" si="0"/>
        <v>1/406</v>
      </c>
      <c r="D31" s="641">
        <v>207100</v>
      </c>
    </row>
    <row r="32" spans="1:4" x14ac:dyDescent="0.2">
      <c r="A32">
        <v>1</v>
      </c>
      <c r="B32" s="636">
        <v>407</v>
      </c>
      <c r="C32" s="634" t="str">
        <f t="shared" si="0"/>
        <v>1/407</v>
      </c>
      <c r="D32" s="641">
        <v>229100</v>
      </c>
    </row>
    <row r="33" spans="1:4" x14ac:dyDescent="0.2">
      <c r="A33">
        <v>1</v>
      </c>
      <c r="B33" s="636">
        <v>408</v>
      </c>
      <c r="C33" s="634" t="str">
        <f t="shared" si="0"/>
        <v>1/408</v>
      </c>
      <c r="D33" s="641">
        <v>233000</v>
      </c>
    </row>
    <row r="34" spans="1:4" x14ac:dyDescent="0.2">
      <c r="A34">
        <v>1</v>
      </c>
      <c r="B34" s="635">
        <v>501</v>
      </c>
      <c r="C34" s="634" t="str">
        <f t="shared" si="0"/>
        <v>1/501</v>
      </c>
      <c r="D34" s="641">
        <v>233000</v>
      </c>
    </row>
    <row r="35" spans="1:4" x14ac:dyDescent="0.2">
      <c r="A35">
        <v>1</v>
      </c>
      <c r="B35" s="636">
        <v>502</v>
      </c>
      <c r="C35" s="634" t="str">
        <f t="shared" si="0"/>
        <v>1/502</v>
      </c>
      <c r="D35" s="641">
        <v>229100</v>
      </c>
    </row>
    <row r="36" spans="1:4" x14ac:dyDescent="0.2">
      <c r="A36">
        <v>1</v>
      </c>
      <c r="B36" s="636">
        <v>503</v>
      </c>
      <c r="C36" s="634" t="str">
        <f t="shared" si="0"/>
        <v>1/503</v>
      </c>
      <c r="D36" s="641">
        <v>224600</v>
      </c>
    </row>
    <row r="37" spans="1:4" x14ac:dyDescent="0.2">
      <c r="A37">
        <v>1</v>
      </c>
      <c r="B37" s="636">
        <v>504</v>
      </c>
      <c r="C37" s="634" t="str">
        <f t="shared" si="0"/>
        <v>1/504</v>
      </c>
      <c r="D37" s="641">
        <v>228300</v>
      </c>
    </row>
    <row r="38" spans="1:4" x14ac:dyDescent="0.2">
      <c r="A38">
        <v>1</v>
      </c>
      <c r="B38" s="636">
        <v>505</v>
      </c>
      <c r="C38" s="634" t="str">
        <f t="shared" si="0"/>
        <v>1/505</v>
      </c>
      <c r="D38" s="641">
        <v>228300</v>
      </c>
    </row>
    <row r="39" spans="1:4" x14ac:dyDescent="0.2">
      <c r="A39">
        <v>1</v>
      </c>
      <c r="B39" s="636">
        <v>506</v>
      </c>
      <c r="C39" s="634" t="str">
        <f t="shared" si="0"/>
        <v>1/506</v>
      </c>
      <c r="D39" s="641">
        <v>224600</v>
      </c>
    </row>
    <row r="40" spans="1:4" x14ac:dyDescent="0.2">
      <c r="A40">
        <v>1</v>
      </c>
      <c r="B40" s="636">
        <v>507</v>
      </c>
      <c r="C40" s="634" t="str">
        <f t="shared" si="0"/>
        <v>1/507</v>
      </c>
      <c r="D40" s="641">
        <v>229100</v>
      </c>
    </row>
    <row r="41" spans="1:4" x14ac:dyDescent="0.2">
      <c r="A41">
        <v>1</v>
      </c>
      <c r="B41" s="636">
        <v>508</v>
      </c>
      <c r="C41" s="634" t="str">
        <f t="shared" si="0"/>
        <v>1/508</v>
      </c>
      <c r="D41" s="641">
        <v>233000</v>
      </c>
    </row>
    <row r="42" spans="1:4" x14ac:dyDescent="0.2">
      <c r="A42">
        <v>1</v>
      </c>
      <c r="B42" s="636">
        <v>601</v>
      </c>
      <c r="C42" s="634" t="str">
        <f t="shared" si="0"/>
        <v>1/601</v>
      </c>
      <c r="D42" s="641">
        <v>235400</v>
      </c>
    </row>
    <row r="43" spans="1:4" x14ac:dyDescent="0.2">
      <c r="A43">
        <v>1</v>
      </c>
      <c r="B43" s="636">
        <v>602</v>
      </c>
      <c r="C43" s="634" t="str">
        <f t="shared" si="0"/>
        <v>1/602</v>
      </c>
      <c r="D43" s="641">
        <v>231500</v>
      </c>
    </row>
    <row r="44" spans="1:4" x14ac:dyDescent="0.2">
      <c r="A44">
        <v>1</v>
      </c>
      <c r="B44" s="636">
        <v>601</v>
      </c>
      <c r="C44" s="634" t="str">
        <f t="shared" si="0"/>
        <v>1/601</v>
      </c>
      <c r="D44" s="641">
        <v>235400</v>
      </c>
    </row>
    <row r="45" spans="1:4" x14ac:dyDescent="0.2">
      <c r="A45">
        <v>1</v>
      </c>
      <c r="B45" s="636">
        <v>602</v>
      </c>
      <c r="C45" s="634" t="str">
        <f t="shared" si="0"/>
        <v>1/602</v>
      </c>
      <c r="D45" s="641">
        <v>231500</v>
      </c>
    </row>
    <row r="46" spans="1:4" x14ac:dyDescent="0.2">
      <c r="A46">
        <v>1</v>
      </c>
      <c r="B46" s="636">
        <v>603</v>
      </c>
      <c r="C46" s="634" t="str">
        <f t="shared" si="0"/>
        <v>1/603</v>
      </c>
      <c r="D46" s="641">
        <v>226900</v>
      </c>
    </row>
    <row r="47" spans="1:4" x14ac:dyDescent="0.2">
      <c r="A47">
        <v>1</v>
      </c>
      <c r="B47" s="636">
        <v>604</v>
      </c>
      <c r="C47" s="634" t="str">
        <f t="shared" si="0"/>
        <v>1/604</v>
      </c>
      <c r="D47" s="641">
        <v>230700</v>
      </c>
    </row>
    <row r="48" spans="1:4" x14ac:dyDescent="0.2">
      <c r="A48">
        <v>1</v>
      </c>
      <c r="B48" s="636">
        <v>605</v>
      </c>
      <c r="C48" s="634" t="str">
        <f t="shared" si="0"/>
        <v>1/605</v>
      </c>
      <c r="D48" s="641">
        <v>230700</v>
      </c>
    </row>
    <row r="49" spans="1:4" x14ac:dyDescent="0.2">
      <c r="A49">
        <v>1</v>
      </c>
      <c r="B49" s="636">
        <v>606</v>
      </c>
      <c r="C49" s="634" t="str">
        <f t="shared" si="0"/>
        <v>1/606</v>
      </c>
      <c r="D49" s="641">
        <v>226900</v>
      </c>
    </row>
    <row r="50" spans="1:4" x14ac:dyDescent="0.2">
      <c r="A50">
        <v>1</v>
      </c>
      <c r="B50" s="636">
        <v>607</v>
      </c>
      <c r="C50" s="634" t="str">
        <f t="shared" si="0"/>
        <v>1/607</v>
      </c>
      <c r="D50" s="641">
        <v>231500</v>
      </c>
    </row>
    <row r="51" spans="1:4" x14ac:dyDescent="0.2">
      <c r="A51">
        <v>1</v>
      </c>
      <c r="B51" s="636">
        <v>608</v>
      </c>
      <c r="C51" s="634" t="str">
        <f t="shared" si="0"/>
        <v>1/608</v>
      </c>
      <c r="D51" s="641">
        <v>235400</v>
      </c>
    </row>
    <row r="52" spans="1:4" x14ac:dyDescent="0.2">
      <c r="A52">
        <v>1</v>
      </c>
      <c r="B52" s="636">
        <v>701</v>
      </c>
      <c r="C52" s="634" t="str">
        <f t="shared" si="0"/>
        <v>1/701</v>
      </c>
      <c r="D52" s="641">
        <v>235400</v>
      </c>
    </row>
    <row r="53" spans="1:4" x14ac:dyDescent="0.2">
      <c r="A53">
        <v>1</v>
      </c>
      <c r="B53" s="636">
        <v>702</v>
      </c>
      <c r="C53" s="634" t="str">
        <f t="shared" si="0"/>
        <v>1/702</v>
      </c>
      <c r="D53" s="641">
        <v>231500</v>
      </c>
    </row>
    <row r="54" spans="1:4" x14ac:dyDescent="0.2">
      <c r="A54">
        <v>1</v>
      </c>
      <c r="B54" s="636">
        <v>703</v>
      </c>
      <c r="C54" s="634" t="str">
        <f t="shared" si="0"/>
        <v>1/703</v>
      </c>
      <c r="D54" s="641">
        <v>226900</v>
      </c>
    </row>
    <row r="55" spans="1:4" x14ac:dyDescent="0.2">
      <c r="A55">
        <v>1</v>
      </c>
      <c r="B55" s="636">
        <v>704</v>
      </c>
      <c r="C55" s="634" t="str">
        <f t="shared" si="0"/>
        <v>1/704</v>
      </c>
      <c r="D55" s="641">
        <v>230700</v>
      </c>
    </row>
    <row r="56" spans="1:4" x14ac:dyDescent="0.2">
      <c r="A56">
        <v>1</v>
      </c>
      <c r="B56" s="636">
        <v>705</v>
      </c>
      <c r="C56" s="634" t="str">
        <f t="shared" si="0"/>
        <v>1/705</v>
      </c>
      <c r="D56" s="641">
        <v>230700</v>
      </c>
    </row>
    <row r="57" spans="1:4" x14ac:dyDescent="0.2">
      <c r="A57">
        <v>1</v>
      </c>
      <c r="B57" s="636">
        <v>706</v>
      </c>
      <c r="C57" s="634" t="str">
        <f t="shared" si="0"/>
        <v>1/706</v>
      </c>
      <c r="D57" s="641">
        <v>226900</v>
      </c>
    </row>
    <row r="58" spans="1:4" x14ac:dyDescent="0.2">
      <c r="A58">
        <v>1</v>
      </c>
      <c r="B58" s="636">
        <v>707</v>
      </c>
      <c r="C58" s="634" t="str">
        <f t="shared" si="0"/>
        <v>1/707</v>
      </c>
      <c r="D58" s="641">
        <v>231500</v>
      </c>
    </row>
    <row r="59" spans="1:4" x14ac:dyDescent="0.2">
      <c r="A59">
        <v>1</v>
      </c>
      <c r="B59" s="636">
        <v>708</v>
      </c>
      <c r="C59" s="634" t="str">
        <f t="shared" si="0"/>
        <v>1/708</v>
      </c>
      <c r="D59" s="641">
        <v>235400</v>
      </c>
    </row>
    <row r="60" spans="1:4" x14ac:dyDescent="0.2">
      <c r="A60">
        <v>1</v>
      </c>
      <c r="B60" s="636">
        <v>801</v>
      </c>
      <c r="C60" s="634" t="str">
        <f t="shared" si="0"/>
        <v>1/801</v>
      </c>
      <c r="D60" s="641">
        <v>235400</v>
      </c>
    </row>
    <row r="61" spans="1:4" x14ac:dyDescent="0.2">
      <c r="A61">
        <v>1</v>
      </c>
      <c r="B61" s="636">
        <v>802</v>
      </c>
      <c r="C61" s="634" t="str">
        <f t="shared" si="0"/>
        <v>1/802</v>
      </c>
      <c r="D61" s="641">
        <v>231500</v>
      </c>
    </row>
    <row r="62" spans="1:4" x14ac:dyDescent="0.2">
      <c r="A62">
        <v>1</v>
      </c>
      <c r="B62" s="636">
        <v>803</v>
      </c>
      <c r="C62" s="634" t="str">
        <f t="shared" si="0"/>
        <v>1/803</v>
      </c>
      <c r="D62" s="641">
        <v>226900</v>
      </c>
    </row>
    <row r="63" spans="1:4" x14ac:dyDescent="0.2">
      <c r="A63">
        <v>1</v>
      </c>
      <c r="B63" s="636">
        <v>804</v>
      </c>
      <c r="C63" s="634" t="str">
        <f t="shared" si="0"/>
        <v>1/804</v>
      </c>
      <c r="D63" s="641">
        <v>230700</v>
      </c>
    </row>
    <row r="64" spans="1:4" x14ac:dyDescent="0.2">
      <c r="A64">
        <v>1</v>
      </c>
      <c r="B64" s="636">
        <v>805</v>
      </c>
      <c r="C64" s="634" t="str">
        <f t="shared" si="0"/>
        <v>1/805</v>
      </c>
      <c r="D64" s="641">
        <v>230700</v>
      </c>
    </row>
    <row r="65" spans="1:4" x14ac:dyDescent="0.2">
      <c r="A65">
        <v>1</v>
      </c>
      <c r="B65" s="636">
        <v>806</v>
      </c>
      <c r="C65" s="634" t="str">
        <f t="shared" si="0"/>
        <v>1/806</v>
      </c>
      <c r="D65" s="641">
        <v>226900</v>
      </c>
    </row>
    <row r="66" spans="1:4" x14ac:dyDescent="0.2">
      <c r="A66">
        <v>1</v>
      </c>
      <c r="B66" s="636">
        <v>807</v>
      </c>
      <c r="C66" s="634" t="str">
        <f t="shared" si="0"/>
        <v>1/807</v>
      </c>
      <c r="D66" s="641">
        <v>231500</v>
      </c>
    </row>
    <row r="67" spans="1:4" x14ac:dyDescent="0.2">
      <c r="A67">
        <v>1</v>
      </c>
      <c r="B67" s="636">
        <v>808</v>
      </c>
      <c r="C67" s="634" t="str">
        <f t="shared" si="0"/>
        <v>1/808</v>
      </c>
      <c r="D67" s="641">
        <v>235400</v>
      </c>
    </row>
    <row r="68" spans="1:4" x14ac:dyDescent="0.2">
      <c r="A68">
        <v>1</v>
      </c>
      <c r="B68" s="636">
        <v>901</v>
      </c>
      <c r="C68" s="634" t="str">
        <f t="shared" si="0"/>
        <v>1/901</v>
      </c>
      <c r="D68" s="641">
        <v>235400</v>
      </c>
    </row>
    <row r="69" spans="1:4" x14ac:dyDescent="0.2">
      <c r="A69">
        <v>1</v>
      </c>
      <c r="B69" s="636">
        <v>902</v>
      </c>
      <c r="C69" s="634" t="str">
        <f t="shared" ref="C69:C128" si="1">A69&amp;"/"&amp;B69</f>
        <v>1/902</v>
      </c>
      <c r="D69" s="641">
        <v>231500</v>
      </c>
    </row>
    <row r="70" spans="1:4" x14ac:dyDescent="0.2">
      <c r="A70">
        <v>1</v>
      </c>
      <c r="B70" s="636">
        <v>903</v>
      </c>
      <c r="C70" s="634" t="str">
        <f t="shared" si="1"/>
        <v>1/903</v>
      </c>
      <c r="D70" s="641">
        <v>226900</v>
      </c>
    </row>
    <row r="71" spans="1:4" x14ac:dyDescent="0.2">
      <c r="A71">
        <v>1</v>
      </c>
      <c r="B71" s="636">
        <v>904</v>
      </c>
      <c r="C71" s="634" t="str">
        <f t="shared" si="1"/>
        <v>1/904</v>
      </c>
      <c r="D71" s="641">
        <v>230700</v>
      </c>
    </row>
    <row r="72" spans="1:4" x14ac:dyDescent="0.2">
      <c r="A72">
        <v>1</v>
      </c>
      <c r="B72" s="636">
        <v>905</v>
      </c>
      <c r="C72" s="634" t="str">
        <f t="shared" si="1"/>
        <v>1/905</v>
      </c>
      <c r="D72" s="641">
        <v>230700</v>
      </c>
    </row>
    <row r="73" spans="1:4" x14ac:dyDescent="0.2">
      <c r="A73">
        <v>1</v>
      </c>
      <c r="B73" s="636">
        <v>906</v>
      </c>
      <c r="C73" s="634" t="str">
        <f t="shared" si="1"/>
        <v>1/906</v>
      </c>
      <c r="D73" s="641">
        <v>226900</v>
      </c>
    </row>
    <row r="74" spans="1:4" x14ac:dyDescent="0.2">
      <c r="A74">
        <v>1</v>
      </c>
      <c r="B74" s="636">
        <v>907</v>
      </c>
      <c r="C74" s="634" t="str">
        <f t="shared" si="1"/>
        <v>1/907</v>
      </c>
      <c r="D74" s="641">
        <v>231500</v>
      </c>
    </row>
    <row r="75" spans="1:4" x14ac:dyDescent="0.2">
      <c r="A75">
        <v>1</v>
      </c>
      <c r="B75" s="636">
        <v>908</v>
      </c>
      <c r="C75" s="634" t="str">
        <f t="shared" si="1"/>
        <v>1/908</v>
      </c>
      <c r="D75" s="641">
        <v>235400</v>
      </c>
    </row>
    <row r="76" spans="1:4" x14ac:dyDescent="0.2">
      <c r="A76">
        <v>1</v>
      </c>
      <c r="B76" s="636">
        <v>1001</v>
      </c>
      <c r="C76" s="634" t="str">
        <f t="shared" si="1"/>
        <v>1/1001</v>
      </c>
      <c r="D76" s="641">
        <v>237800</v>
      </c>
    </row>
    <row r="77" spans="1:4" x14ac:dyDescent="0.2">
      <c r="A77">
        <v>1</v>
      </c>
      <c r="B77" s="636">
        <v>1002</v>
      </c>
      <c r="C77" s="634" t="str">
        <f t="shared" si="1"/>
        <v>1/1002</v>
      </c>
      <c r="D77" s="641">
        <v>233800</v>
      </c>
    </row>
    <row r="78" spans="1:4" x14ac:dyDescent="0.2">
      <c r="A78">
        <v>1</v>
      </c>
      <c r="B78" s="636">
        <v>1003</v>
      </c>
      <c r="C78" s="634" t="str">
        <f t="shared" si="1"/>
        <v>1/1003</v>
      </c>
      <c r="D78" s="641">
        <v>229200</v>
      </c>
    </row>
    <row r="79" spans="1:4" x14ac:dyDescent="0.2">
      <c r="A79">
        <v>1</v>
      </c>
      <c r="B79" s="636">
        <v>1004</v>
      </c>
      <c r="C79" s="634" t="str">
        <f t="shared" si="1"/>
        <v>1/1004</v>
      </c>
      <c r="D79" s="641">
        <v>233000</v>
      </c>
    </row>
    <row r="80" spans="1:4" x14ac:dyDescent="0.2">
      <c r="A80">
        <v>1</v>
      </c>
      <c r="B80" s="636">
        <v>1005</v>
      </c>
      <c r="C80" s="634" t="str">
        <f t="shared" si="1"/>
        <v>1/1005</v>
      </c>
      <c r="D80" s="641">
        <v>233000</v>
      </c>
    </row>
    <row r="81" spans="1:4" x14ac:dyDescent="0.2">
      <c r="A81">
        <v>1</v>
      </c>
      <c r="B81" s="636">
        <v>1006</v>
      </c>
      <c r="C81" s="634" t="str">
        <f t="shared" si="1"/>
        <v>1/1006</v>
      </c>
      <c r="D81" s="641">
        <v>229200</v>
      </c>
    </row>
    <row r="82" spans="1:4" x14ac:dyDescent="0.2">
      <c r="A82">
        <v>1</v>
      </c>
      <c r="B82" s="636">
        <v>1007</v>
      </c>
      <c r="C82" s="634" t="str">
        <f t="shared" si="1"/>
        <v>1/1007</v>
      </c>
      <c r="D82" s="641">
        <v>233800</v>
      </c>
    </row>
    <row r="83" spans="1:4" x14ac:dyDescent="0.2">
      <c r="A83">
        <v>1</v>
      </c>
      <c r="B83" s="636">
        <v>1008</v>
      </c>
      <c r="C83" s="634" t="str">
        <f t="shared" si="1"/>
        <v>1/1008</v>
      </c>
      <c r="D83" s="641">
        <v>237800</v>
      </c>
    </row>
    <row r="84" spans="1:4" x14ac:dyDescent="0.2">
      <c r="A84">
        <v>1</v>
      </c>
      <c r="B84" s="636">
        <v>1101</v>
      </c>
      <c r="C84" s="634" t="str">
        <f t="shared" si="1"/>
        <v>1/1101</v>
      </c>
      <c r="D84" s="641">
        <v>237800</v>
      </c>
    </row>
    <row r="85" spans="1:4" x14ac:dyDescent="0.2">
      <c r="A85">
        <v>1</v>
      </c>
      <c r="B85" s="636">
        <v>1102</v>
      </c>
      <c r="C85" s="634" t="str">
        <f t="shared" si="1"/>
        <v>1/1102</v>
      </c>
      <c r="D85" s="641">
        <v>233800</v>
      </c>
    </row>
    <row r="86" spans="1:4" x14ac:dyDescent="0.2">
      <c r="A86">
        <v>1</v>
      </c>
      <c r="B86" s="636">
        <v>1103</v>
      </c>
      <c r="C86" s="634" t="str">
        <f t="shared" si="1"/>
        <v>1/1103</v>
      </c>
      <c r="D86" s="641">
        <v>229200</v>
      </c>
    </row>
    <row r="87" spans="1:4" x14ac:dyDescent="0.2">
      <c r="A87">
        <v>1</v>
      </c>
      <c r="B87" s="636">
        <v>1104</v>
      </c>
      <c r="C87" s="634" t="str">
        <f t="shared" si="1"/>
        <v>1/1104</v>
      </c>
      <c r="D87" s="641">
        <v>233000</v>
      </c>
    </row>
    <row r="88" spans="1:4" x14ac:dyDescent="0.2">
      <c r="A88">
        <v>1</v>
      </c>
      <c r="B88" s="636">
        <v>1105</v>
      </c>
      <c r="C88" s="634" t="str">
        <f t="shared" si="1"/>
        <v>1/1105</v>
      </c>
      <c r="D88" s="641">
        <v>233000</v>
      </c>
    </row>
    <row r="89" spans="1:4" x14ac:dyDescent="0.2">
      <c r="A89">
        <v>1</v>
      </c>
      <c r="B89" s="636">
        <v>1106</v>
      </c>
      <c r="C89" s="634" t="str">
        <f t="shared" si="1"/>
        <v>1/1106</v>
      </c>
      <c r="D89" s="641">
        <v>229200</v>
      </c>
    </row>
    <row r="90" spans="1:4" x14ac:dyDescent="0.2">
      <c r="A90">
        <v>1</v>
      </c>
      <c r="B90" s="636">
        <v>1107</v>
      </c>
      <c r="C90" s="634" t="str">
        <f t="shared" si="1"/>
        <v>1/1107</v>
      </c>
      <c r="D90" s="641">
        <v>233800</v>
      </c>
    </row>
    <row r="91" spans="1:4" x14ac:dyDescent="0.2">
      <c r="A91">
        <v>1</v>
      </c>
      <c r="B91" s="636">
        <v>1108</v>
      </c>
      <c r="C91" s="634" t="str">
        <f t="shared" si="1"/>
        <v>1/1108</v>
      </c>
      <c r="D91" s="641">
        <v>237800</v>
      </c>
    </row>
    <row r="92" spans="1:4" x14ac:dyDescent="0.2">
      <c r="A92">
        <v>1</v>
      </c>
      <c r="B92" s="636">
        <v>1201</v>
      </c>
      <c r="C92" s="634" t="str">
        <f t="shared" si="1"/>
        <v>1/1201</v>
      </c>
      <c r="D92" s="641">
        <v>237800</v>
      </c>
    </row>
    <row r="93" spans="1:4" x14ac:dyDescent="0.2">
      <c r="A93">
        <v>1</v>
      </c>
      <c r="B93" s="636">
        <v>1202</v>
      </c>
      <c r="C93" s="634" t="str">
        <f t="shared" si="1"/>
        <v>1/1202</v>
      </c>
      <c r="D93" s="641">
        <v>233800</v>
      </c>
    </row>
    <row r="94" spans="1:4" x14ac:dyDescent="0.2">
      <c r="A94">
        <v>1</v>
      </c>
      <c r="B94" s="636">
        <v>1203</v>
      </c>
      <c r="C94" s="634" t="str">
        <f t="shared" si="1"/>
        <v>1/1203</v>
      </c>
      <c r="D94" s="641">
        <v>229200</v>
      </c>
    </row>
    <row r="95" spans="1:4" x14ac:dyDescent="0.2">
      <c r="A95">
        <v>1</v>
      </c>
      <c r="B95" s="636">
        <v>1204</v>
      </c>
      <c r="C95" s="634" t="str">
        <f t="shared" si="1"/>
        <v>1/1204</v>
      </c>
      <c r="D95" s="641">
        <v>233000</v>
      </c>
    </row>
    <row r="96" spans="1:4" x14ac:dyDescent="0.2">
      <c r="A96">
        <v>1</v>
      </c>
      <c r="B96" s="636">
        <v>1205</v>
      </c>
      <c r="C96" s="634" t="str">
        <f t="shared" si="1"/>
        <v>1/1205</v>
      </c>
      <c r="D96" s="641">
        <v>233000</v>
      </c>
    </row>
    <row r="97" spans="1:4" x14ac:dyDescent="0.2">
      <c r="A97">
        <v>1</v>
      </c>
      <c r="B97" s="636">
        <v>1206</v>
      </c>
      <c r="C97" s="634" t="str">
        <f t="shared" si="1"/>
        <v>1/1206</v>
      </c>
      <c r="D97" s="641">
        <v>229200</v>
      </c>
    </row>
    <row r="98" spans="1:4" x14ac:dyDescent="0.2">
      <c r="A98">
        <v>1</v>
      </c>
      <c r="B98" s="636">
        <v>1207</v>
      </c>
      <c r="C98" s="634" t="str">
        <f t="shared" si="1"/>
        <v>1/1207</v>
      </c>
      <c r="D98" s="641">
        <v>233800</v>
      </c>
    </row>
    <row r="99" spans="1:4" x14ac:dyDescent="0.2">
      <c r="A99">
        <v>1</v>
      </c>
      <c r="B99" s="636">
        <v>1208</v>
      </c>
      <c r="C99" s="634" t="str">
        <f t="shared" si="1"/>
        <v>1/1208</v>
      </c>
      <c r="D99" s="641">
        <v>237800</v>
      </c>
    </row>
    <row r="100" spans="1:4" x14ac:dyDescent="0.2">
      <c r="A100">
        <v>1</v>
      </c>
      <c r="B100" s="636">
        <v>1301</v>
      </c>
      <c r="C100" s="634" t="str">
        <f t="shared" si="1"/>
        <v>1/1301</v>
      </c>
      <c r="D100" s="641">
        <v>237800</v>
      </c>
    </row>
    <row r="101" spans="1:4" x14ac:dyDescent="0.2">
      <c r="A101">
        <v>1</v>
      </c>
      <c r="B101" s="636">
        <v>1302</v>
      </c>
      <c r="C101" s="634" t="str">
        <f t="shared" si="1"/>
        <v>1/1302</v>
      </c>
      <c r="D101" s="641">
        <v>233800</v>
      </c>
    </row>
    <row r="102" spans="1:4" x14ac:dyDescent="0.2">
      <c r="A102">
        <v>1</v>
      </c>
      <c r="B102" s="636">
        <v>1303</v>
      </c>
      <c r="C102" s="634" t="str">
        <f t="shared" si="1"/>
        <v>1/1303</v>
      </c>
      <c r="D102" s="641">
        <v>229200</v>
      </c>
    </row>
    <row r="103" spans="1:4" x14ac:dyDescent="0.2">
      <c r="A103">
        <v>1</v>
      </c>
      <c r="B103" s="636">
        <v>1304</v>
      </c>
      <c r="C103" s="634" t="str">
        <f t="shared" si="1"/>
        <v>1/1304</v>
      </c>
      <c r="D103" s="641">
        <v>233000</v>
      </c>
    </row>
    <row r="104" spans="1:4" x14ac:dyDescent="0.2">
      <c r="A104">
        <v>1</v>
      </c>
      <c r="B104" s="636">
        <v>1305</v>
      </c>
      <c r="C104" s="634" t="str">
        <f t="shared" si="1"/>
        <v>1/1305</v>
      </c>
      <c r="D104" s="641">
        <v>233000</v>
      </c>
    </row>
    <row r="105" spans="1:4" x14ac:dyDescent="0.2">
      <c r="A105">
        <v>1</v>
      </c>
      <c r="B105" s="636">
        <v>1306</v>
      </c>
      <c r="C105" s="634" t="str">
        <f t="shared" si="1"/>
        <v>1/1306</v>
      </c>
      <c r="D105" s="641">
        <v>229200</v>
      </c>
    </row>
    <row r="106" spans="1:4" x14ac:dyDescent="0.2">
      <c r="A106">
        <v>1</v>
      </c>
      <c r="B106" s="636">
        <v>1307</v>
      </c>
      <c r="C106" s="634" t="str">
        <f t="shared" si="1"/>
        <v>1/1307</v>
      </c>
      <c r="D106" s="641">
        <v>233800</v>
      </c>
    </row>
    <row r="107" spans="1:4" x14ac:dyDescent="0.2">
      <c r="A107">
        <v>1</v>
      </c>
      <c r="B107" s="636">
        <v>1308</v>
      </c>
      <c r="C107" s="634" t="str">
        <f t="shared" si="1"/>
        <v>1/1308</v>
      </c>
      <c r="D107" s="641">
        <v>237800</v>
      </c>
    </row>
    <row r="108" spans="1:4" x14ac:dyDescent="0.2">
      <c r="A108">
        <v>1</v>
      </c>
      <c r="B108" s="636">
        <v>1401</v>
      </c>
      <c r="C108" s="634" t="str">
        <f t="shared" si="1"/>
        <v>1/1401</v>
      </c>
      <c r="D108" s="641">
        <v>239000</v>
      </c>
    </row>
    <row r="109" spans="1:4" x14ac:dyDescent="0.2">
      <c r="A109">
        <v>1</v>
      </c>
      <c r="B109" s="636">
        <v>1402</v>
      </c>
      <c r="C109" s="634" t="str">
        <f t="shared" si="1"/>
        <v>1/1402</v>
      </c>
      <c r="D109" s="641">
        <v>235000</v>
      </c>
    </row>
    <row r="110" spans="1:4" x14ac:dyDescent="0.2">
      <c r="A110">
        <v>1</v>
      </c>
      <c r="B110" s="636">
        <v>1403</v>
      </c>
      <c r="C110" s="634" t="str">
        <f t="shared" si="1"/>
        <v>1/1403</v>
      </c>
      <c r="D110" s="641">
        <v>230300</v>
      </c>
    </row>
    <row r="111" spans="1:4" x14ac:dyDescent="0.2">
      <c r="A111">
        <v>1</v>
      </c>
      <c r="B111" s="636">
        <v>1404</v>
      </c>
      <c r="C111" s="634" t="str">
        <f t="shared" si="1"/>
        <v>1/1404</v>
      </c>
      <c r="D111" s="641">
        <v>234200</v>
      </c>
    </row>
    <row r="112" spans="1:4" x14ac:dyDescent="0.2">
      <c r="A112">
        <v>1</v>
      </c>
      <c r="B112" s="636">
        <v>1405</v>
      </c>
      <c r="C112" s="634" t="str">
        <f t="shared" si="1"/>
        <v>1/1405</v>
      </c>
      <c r="D112" s="641">
        <v>234200</v>
      </c>
    </row>
    <row r="113" spans="1:4" x14ac:dyDescent="0.2">
      <c r="A113">
        <v>1</v>
      </c>
      <c r="B113" s="636">
        <v>1406</v>
      </c>
      <c r="C113" s="634" t="str">
        <f t="shared" si="1"/>
        <v>1/1406</v>
      </c>
      <c r="D113" s="641">
        <v>230300</v>
      </c>
    </row>
    <row r="114" spans="1:4" x14ac:dyDescent="0.2">
      <c r="A114">
        <v>1</v>
      </c>
      <c r="B114" s="636">
        <v>1407</v>
      </c>
      <c r="C114" s="634" t="str">
        <f t="shared" si="1"/>
        <v>1/1407</v>
      </c>
      <c r="D114" s="641">
        <v>235000</v>
      </c>
    </row>
    <row r="115" spans="1:4" x14ac:dyDescent="0.2">
      <c r="A115">
        <v>1</v>
      </c>
      <c r="B115" s="636">
        <v>1408</v>
      </c>
      <c r="C115" s="634" t="str">
        <f t="shared" si="1"/>
        <v>1/1408</v>
      </c>
      <c r="D115" s="641">
        <v>239000</v>
      </c>
    </row>
    <row r="116" spans="1:4" x14ac:dyDescent="0.2">
      <c r="A116">
        <v>1</v>
      </c>
      <c r="B116" s="636">
        <v>1501</v>
      </c>
      <c r="C116" s="634" t="str">
        <f t="shared" si="1"/>
        <v>1/1501</v>
      </c>
      <c r="D116" s="641">
        <v>239000</v>
      </c>
    </row>
    <row r="117" spans="1:4" x14ac:dyDescent="0.2">
      <c r="A117">
        <v>1</v>
      </c>
      <c r="B117" s="636">
        <v>1502</v>
      </c>
      <c r="C117" s="634" t="str">
        <f t="shared" si="1"/>
        <v>1/1502</v>
      </c>
      <c r="D117" s="641">
        <v>225000</v>
      </c>
    </row>
    <row r="118" spans="1:4" x14ac:dyDescent="0.2">
      <c r="A118">
        <v>1</v>
      </c>
      <c r="B118" s="636">
        <v>1503</v>
      </c>
      <c r="C118" s="634" t="str">
        <f t="shared" si="1"/>
        <v>1/1503</v>
      </c>
      <c r="D118" s="641">
        <v>225000</v>
      </c>
    </row>
    <row r="119" spans="1:4" x14ac:dyDescent="0.2">
      <c r="A119">
        <v>1</v>
      </c>
      <c r="B119" s="636">
        <v>1504</v>
      </c>
      <c r="C119" s="634" t="str">
        <f t="shared" si="1"/>
        <v>1/1504</v>
      </c>
      <c r="D119" s="641">
        <v>234200</v>
      </c>
    </row>
    <row r="120" spans="1:4" x14ac:dyDescent="0.2">
      <c r="A120">
        <v>1</v>
      </c>
      <c r="B120" s="636">
        <v>1505</v>
      </c>
      <c r="C120" s="634" t="str">
        <f t="shared" si="1"/>
        <v>1/1505</v>
      </c>
      <c r="D120" s="641">
        <v>234200</v>
      </c>
    </row>
    <row r="121" spans="1:4" x14ac:dyDescent="0.2">
      <c r="A121">
        <v>1</v>
      </c>
      <c r="B121" s="636">
        <v>1506</v>
      </c>
      <c r="C121" s="634" t="str">
        <f t="shared" si="1"/>
        <v>1/1506</v>
      </c>
      <c r="D121" s="641">
        <v>225000</v>
      </c>
    </row>
    <row r="122" spans="1:4" x14ac:dyDescent="0.2">
      <c r="A122">
        <v>1</v>
      </c>
      <c r="B122" s="636">
        <v>1507</v>
      </c>
      <c r="C122" s="634" t="str">
        <f t="shared" si="1"/>
        <v>1/1507</v>
      </c>
      <c r="D122" s="641">
        <v>225000</v>
      </c>
    </row>
    <row r="123" spans="1:4" x14ac:dyDescent="0.2">
      <c r="A123">
        <v>1</v>
      </c>
      <c r="B123" s="636">
        <v>1508</v>
      </c>
      <c r="C123" s="634" t="str">
        <f t="shared" si="1"/>
        <v>1/1508</v>
      </c>
      <c r="D123" s="641">
        <v>239000</v>
      </c>
    </row>
    <row r="124" spans="1:4" x14ac:dyDescent="0.2">
      <c r="A124">
        <v>2</v>
      </c>
      <c r="B124">
        <v>101</v>
      </c>
      <c r="C124" s="640" t="str">
        <f t="shared" si="1"/>
        <v>2/101</v>
      </c>
      <c r="D124" s="639">
        <v>208700</v>
      </c>
    </row>
    <row r="125" spans="1:4" x14ac:dyDescent="0.2">
      <c r="A125">
        <v>2</v>
      </c>
      <c r="B125">
        <v>102</v>
      </c>
      <c r="C125" s="640" t="str">
        <f t="shared" si="1"/>
        <v>2/102</v>
      </c>
      <c r="D125" s="639">
        <v>205000</v>
      </c>
    </row>
    <row r="126" spans="1:4" x14ac:dyDescent="0.2">
      <c r="A126">
        <v>2</v>
      </c>
      <c r="B126">
        <v>103</v>
      </c>
      <c r="C126" s="640" t="str">
        <f t="shared" si="1"/>
        <v>2/103</v>
      </c>
      <c r="D126" s="639">
        <v>200600</v>
      </c>
    </row>
    <row r="127" spans="1:4" x14ac:dyDescent="0.2">
      <c r="A127">
        <v>2</v>
      </c>
      <c r="B127">
        <v>104</v>
      </c>
      <c r="C127" s="640" t="str">
        <f t="shared" si="1"/>
        <v>2/104</v>
      </c>
      <c r="D127" s="639">
        <v>204200</v>
      </c>
    </row>
    <row r="128" spans="1:4" x14ac:dyDescent="0.2">
      <c r="A128">
        <v>2</v>
      </c>
      <c r="B128">
        <v>105</v>
      </c>
      <c r="C128" s="640" t="str">
        <f t="shared" si="1"/>
        <v>2/105</v>
      </c>
      <c r="D128" s="639">
        <v>204200</v>
      </c>
    </row>
    <row r="129" spans="1:4" x14ac:dyDescent="0.2">
      <c r="A129">
        <v>2</v>
      </c>
      <c r="B129">
        <v>201</v>
      </c>
      <c r="C129" s="640" t="str">
        <f t="shared" ref="C129:C170" si="2">A129&amp;"/"&amp;B129</f>
        <v>2/201</v>
      </c>
      <c r="D129" s="639">
        <v>215500</v>
      </c>
    </row>
    <row r="130" spans="1:4" x14ac:dyDescent="0.2">
      <c r="A130">
        <v>2</v>
      </c>
      <c r="B130">
        <v>202</v>
      </c>
      <c r="C130" s="640" t="str">
        <f t="shared" si="2"/>
        <v>2/202</v>
      </c>
      <c r="D130" s="639">
        <v>211600</v>
      </c>
    </row>
    <row r="131" spans="1:4" x14ac:dyDescent="0.2">
      <c r="A131">
        <v>2</v>
      </c>
      <c r="B131">
        <v>203</v>
      </c>
      <c r="C131" s="640" t="str">
        <f t="shared" si="2"/>
        <v>2/203</v>
      </c>
      <c r="D131" s="639">
        <v>207100</v>
      </c>
    </row>
    <row r="132" spans="1:4" x14ac:dyDescent="0.2">
      <c r="A132">
        <v>2</v>
      </c>
      <c r="B132">
        <v>204</v>
      </c>
      <c r="C132" s="640" t="str">
        <f t="shared" si="2"/>
        <v>2/204</v>
      </c>
      <c r="D132" s="639">
        <v>210800</v>
      </c>
    </row>
    <row r="133" spans="1:4" x14ac:dyDescent="0.2">
      <c r="A133">
        <v>2</v>
      </c>
      <c r="B133">
        <v>205</v>
      </c>
      <c r="C133" s="640" t="str">
        <f t="shared" si="2"/>
        <v>2/205</v>
      </c>
      <c r="D133" s="639">
        <v>210800</v>
      </c>
    </row>
    <row r="134" spans="1:4" x14ac:dyDescent="0.2">
      <c r="A134">
        <v>2</v>
      </c>
      <c r="B134">
        <v>206</v>
      </c>
      <c r="C134" s="640" t="str">
        <f t="shared" si="2"/>
        <v>2/206</v>
      </c>
      <c r="D134" s="639">
        <v>207100</v>
      </c>
    </row>
    <row r="135" spans="1:4" x14ac:dyDescent="0.2">
      <c r="A135">
        <v>2</v>
      </c>
      <c r="B135">
        <v>207</v>
      </c>
      <c r="C135" s="640" t="str">
        <f t="shared" si="2"/>
        <v>2/207</v>
      </c>
      <c r="D135" s="639">
        <v>211600</v>
      </c>
    </row>
    <row r="136" spans="1:4" x14ac:dyDescent="0.2">
      <c r="A136">
        <v>2</v>
      </c>
      <c r="B136">
        <v>208</v>
      </c>
      <c r="C136" s="640" t="str">
        <f t="shared" si="2"/>
        <v>2/208</v>
      </c>
      <c r="D136" s="639">
        <v>215500</v>
      </c>
    </row>
    <row r="137" spans="1:4" x14ac:dyDescent="0.2">
      <c r="A137">
        <v>2</v>
      </c>
      <c r="B137">
        <v>301</v>
      </c>
      <c r="C137" s="640" t="str">
        <f t="shared" si="2"/>
        <v>2/301</v>
      </c>
      <c r="D137" s="639">
        <v>215500</v>
      </c>
    </row>
    <row r="138" spans="1:4" x14ac:dyDescent="0.2">
      <c r="A138">
        <v>2</v>
      </c>
      <c r="B138">
        <v>302</v>
      </c>
      <c r="C138" s="640" t="str">
        <f t="shared" si="2"/>
        <v>2/302</v>
      </c>
      <c r="D138" s="639">
        <v>211600</v>
      </c>
    </row>
    <row r="139" spans="1:4" x14ac:dyDescent="0.2">
      <c r="A139">
        <v>2</v>
      </c>
      <c r="B139">
        <v>303</v>
      </c>
      <c r="C139" s="640" t="str">
        <f t="shared" si="2"/>
        <v>2/303</v>
      </c>
      <c r="D139" s="639">
        <v>207100</v>
      </c>
    </row>
    <row r="140" spans="1:4" x14ac:dyDescent="0.2">
      <c r="A140">
        <v>2</v>
      </c>
      <c r="B140">
        <v>304</v>
      </c>
      <c r="C140" s="640" t="str">
        <f t="shared" si="2"/>
        <v>2/304</v>
      </c>
      <c r="D140" s="639">
        <v>210800</v>
      </c>
    </row>
    <row r="141" spans="1:4" x14ac:dyDescent="0.2">
      <c r="A141">
        <v>2</v>
      </c>
      <c r="B141">
        <v>305</v>
      </c>
      <c r="C141" s="640" t="str">
        <f t="shared" si="2"/>
        <v>2/305</v>
      </c>
      <c r="D141" s="639">
        <v>210800</v>
      </c>
    </row>
    <row r="142" spans="1:4" x14ac:dyDescent="0.2">
      <c r="A142">
        <v>2</v>
      </c>
      <c r="B142">
        <v>306</v>
      </c>
      <c r="C142" s="640" t="str">
        <f t="shared" si="2"/>
        <v>2/306</v>
      </c>
      <c r="D142" s="639">
        <v>207100</v>
      </c>
    </row>
    <row r="143" spans="1:4" x14ac:dyDescent="0.2">
      <c r="A143">
        <v>2</v>
      </c>
      <c r="B143">
        <v>307</v>
      </c>
      <c r="C143" s="640" t="str">
        <f t="shared" si="2"/>
        <v>2/307</v>
      </c>
      <c r="D143" s="639">
        <v>211600</v>
      </c>
    </row>
    <row r="144" spans="1:4" x14ac:dyDescent="0.2">
      <c r="A144">
        <v>2</v>
      </c>
      <c r="B144">
        <v>308</v>
      </c>
      <c r="C144" s="640" t="str">
        <f t="shared" si="2"/>
        <v>2/308</v>
      </c>
      <c r="D144" s="639">
        <v>215500</v>
      </c>
    </row>
    <row r="145" spans="1:4" x14ac:dyDescent="0.2">
      <c r="A145">
        <v>2</v>
      </c>
      <c r="B145">
        <v>401</v>
      </c>
      <c r="C145" s="640" t="str">
        <f t="shared" si="2"/>
        <v>2/401</v>
      </c>
      <c r="D145" s="639">
        <v>233000</v>
      </c>
    </row>
    <row r="146" spans="1:4" x14ac:dyDescent="0.2">
      <c r="A146">
        <v>2</v>
      </c>
      <c r="B146">
        <v>402</v>
      </c>
      <c r="C146" s="640" t="str">
        <f t="shared" si="2"/>
        <v>2/402</v>
      </c>
      <c r="D146" s="639">
        <v>229100</v>
      </c>
    </row>
    <row r="147" spans="1:4" x14ac:dyDescent="0.2">
      <c r="A147">
        <v>2</v>
      </c>
      <c r="B147">
        <v>403</v>
      </c>
      <c r="C147" s="640" t="str">
        <f t="shared" si="2"/>
        <v>2/403</v>
      </c>
      <c r="D147" s="639">
        <v>207100</v>
      </c>
    </row>
    <row r="148" spans="1:4" x14ac:dyDescent="0.2">
      <c r="A148">
        <v>2</v>
      </c>
      <c r="B148">
        <v>404</v>
      </c>
      <c r="C148" s="640" t="str">
        <f t="shared" si="2"/>
        <v>2/404</v>
      </c>
      <c r="D148" s="639">
        <v>210800</v>
      </c>
    </row>
    <row r="149" spans="1:4" x14ac:dyDescent="0.2">
      <c r="A149">
        <v>2</v>
      </c>
      <c r="B149">
        <v>405</v>
      </c>
      <c r="C149" s="640" t="str">
        <f t="shared" si="2"/>
        <v>2/405</v>
      </c>
      <c r="D149" s="639">
        <v>210800</v>
      </c>
    </row>
    <row r="150" spans="1:4" x14ac:dyDescent="0.2">
      <c r="A150">
        <v>2</v>
      </c>
      <c r="B150">
        <v>406</v>
      </c>
      <c r="C150" s="640" t="str">
        <f t="shared" si="2"/>
        <v>2/406</v>
      </c>
      <c r="D150" s="639">
        <v>207100</v>
      </c>
    </row>
    <row r="151" spans="1:4" x14ac:dyDescent="0.2">
      <c r="A151">
        <v>2</v>
      </c>
      <c r="B151">
        <v>407</v>
      </c>
      <c r="C151" s="640" t="str">
        <f t="shared" si="2"/>
        <v>2/407</v>
      </c>
      <c r="D151" s="639">
        <v>211600</v>
      </c>
    </row>
    <row r="152" spans="1:4" x14ac:dyDescent="0.2">
      <c r="A152">
        <v>2</v>
      </c>
      <c r="B152">
        <v>408</v>
      </c>
      <c r="C152" s="640" t="str">
        <f t="shared" si="2"/>
        <v>2/408</v>
      </c>
      <c r="D152" s="639">
        <v>233000</v>
      </c>
    </row>
    <row r="153" spans="1:4" x14ac:dyDescent="0.2">
      <c r="A153">
        <v>2</v>
      </c>
      <c r="B153">
        <v>501</v>
      </c>
      <c r="C153" s="640" t="str">
        <f t="shared" si="2"/>
        <v>2/501</v>
      </c>
      <c r="D153" s="639">
        <v>233000</v>
      </c>
    </row>
    <row r="154" spans="1:4" x14ac:dyDescent="0.2">
      <c r="A154">
        <v>2</v>
      </c>
      <c r="B154">
        <v>502</v>
      </c>
      <c r="C154" s="640" t="str">
        <f t="shared" si="2"/>
        <v>2/502</v>
      </c>
      <c r="D154" s="639">
        <v>229100</v>
      </c>
    </row>
    <row r="155" spans="1:4" x14ac:dyDescent="0.2">
      <c r="A155">
        <v>2</v>
      </c>
      <c r="B155">
        <v>503</v>
      </c>
      <c r="C155" s="640" t="str">
        <f t="shared" si="2"/>
        <v>2/503</v>
      </c>
      <c r="D155" s="639">
        <v>224600</v>
      </c>
    </row>
    <row r="156" spans="1:4" x14ac:dyDescent="0.2">
      <c r="A156">
        <v>2</v>
      </c>
      <c r="B156">
        <v>504</v>
      </c>
      <c r="C156" s="640" t="str">
        <f t="shared" si="2"/>
        <v>2/504</v>
      </c>
      <c r="D156" s="639">
        <v>228300</v>
      </c>
    </row>
    <row r="157" spans="1:4" x14ac:dyDescent="0.2">
      <c r="A157">
        <v>2</v>
      </c>
      <c r="B157">
        <v>505</v>
      </c>
      <c r="C157" s="640" t="str">
        <f t="shared" si="2"/>
        <v>2/505</v>
      </c>
      <c r="D157" s="639">
        <v>228300</v>
      </c>
    </row>
    <row r="158" spans="1:4" x14ac:dyDescent="0.2">
      <c r="A158">
        <v>2</v>
      </c>
      <c r="B158">
        <v>506</v>
      </c>
      <c r="C158" s="640" t="str">
        <f t="shared" si="2"/>
        <v>2/506</v>
      </c>
      <c r="D158" s="639">
        <v>224600</v>
      </c>
    </row>
    <row r="159" spans="1:4" x14ac:dyDescent="0.2">
      <c r="A159">
        <v>2</v>
      </c>
      <c r="B159">
        <v>507</v>
      </c>
      <c r="C159" s="640" t="str">
        <f t="shared" si="2"/>
        <v>2/507</v>
      </c>
      <c r="D159" s="639">
        <v>229100</v>
      </c>
    </row>
    <row r="160" spans="1:4" x14ac:dyDescent="0.2">
      <c r="A160">
        <v>2</v>
      </c>
      <c r="B160">
        <v>508</v>
      </c>
      <c r="C160" s="640" t="str">
        <f t="shared" si="2"/>
        <v>2/508</v>
      </c>
      <c r="D160" s="639">
        <v>233000</v>
      </c>
    </row>
    <row r="161" spans="1:4" x14ac:dyDescent="0.2">
      <c r="A161">
        <v>2</v>
      </c>
      <c r="B161">
        <v>601</v>
      </c>
      <c r="C161" s="640" t="str">
        <f t="shared" si="2"/>
        <v>2/601</v>
      </c>
      <c r="D161" s="639">
        <v>235400</v>
      </c>
    </row>
    <row r="162" spans="1:4" x14ac:dyDescent="0.2">
      <c r="A162">
        <v>2</v>
      </c>
      <c r="B162">
        <v>602</v>
      </c>
      <c r="C162" s="640" t="str">
        <f t="shared" si="2"/>
        <v>2/602</v>
      </c>
      <c r="D162" s="639">
        <v>231500</v>
      </c>
    </row>
    <row r="163" spans="1:4" x14ac:dyDescent="0.2">
      <c r="A163">
        <v>2</v>
      </c>
      <c r="B163">
        <v>601</v>
      </c>
      <c r="C163" s="640" t="str">
        <f t="shared" si="2"/>
        <v>2/601</v>
      </c>
      <c r="D163" s="639">
        <v>235400</v>
      </c>
    </row>
    <row r="164" spans="1:4" x14ac:dyDescent="0.2">
      <c r="A164">
        <v>2</v>
      </c>
      <c r="B164">
        <v>602</v>
      </c>
      <c r="C164" s="640" t="str">
        <f t="shared" si="2"/>
        <v>2/602</v>
      </c>
      <c r="D164" s="639">
        <v>231500</v>
      </c>
    </row>
    <row r="165" spans="1:4" x14ac:dyDescent="0.2">
      <c r="A165">
        <v>2</v>
      </c>
      <c r="B165">
        <v>603</v>
      </c>
      <c r="C165" s="640" t="str">
        <f t="shared" si="2"/>
        <v>2/603</v>
      </c>
      <c r="D165" s="639">
        <v>226900</v>
      </c>
    </row>
    <row r="166" spans="1:4" x14ac:dyDescent="0.2">
      <c r="A166">
        <v>2</v>
      </c>
      <c r="B166">
        <v>604</v>
      </c>
      <c r="C166" s="640" t="str">
        <f t="shared" si="2"/>
        <v>2/604</v>
      </c>
      <c r="D166" s="639">
        <v>230700</v>
      </c>
    </row>
    <row r="167" spans="1:4" x14ac:dyDescent="0.2">
      <c r="A167">
        <v>2</v>
      </c>
      <c r="B167">
        <v>605</v>
      </c>
      <c r="C167" s="640" t="str">
        <f t="shared" si="2"/>
        <v>2/605</v>
      </c>
      <c r="D167" s="639">
        <v>230700</v>
      </c>
    </row>
    <row r="168" spans="1:4" x14ac:dyDescent="0.2">
      <c r="A168">
        <v>2</v>
      </c>
      <c r="B168">
        <v>606</v>
      </c>
      <c r="C168" s="640" t="str">
        <f t="shared" si="2"/>
        <v>2/606</v>
      </c>
      <c r="D168" s="639">
        <v>226900</v>
      </c>
    </row>
    <row r="169" spans="1:4" x14ac:dyDescent="0.2">
      <c r="A169">
        <v>2</v>
      </c>
      <c r="B169">
        <v>607</v>
      </c>
      <c r="C169" s="640" t="str">
        <f t="shared" si="2"/>
        <v>2/607</v>
      </c>
      <c r="D169" s="639">
        <v>231500</v>
      </c>
    </row>
    <row r="170" spans="1:4" x14ac:dyDescent="0.2">
      <c r="A170">
        <v>2</v>
      </c>
      <c r="B170">
        <v>608</v>
      </c>
      <c r="C170" s="640" t="str">
        <f t="shared" si="2"/>
        <v>2/608</v>
      </c>
      <c r="D170" s="639">
        <v>235400</v>
      </c>
    </row>
    <row r="171" spans="1:4" x14ac:dyDescent="0.2">
      <c r="A171">
        <v>2</v>
      </c>
      <c r="B171">
        <v>701</v>
      </c>
      <c r="C171" s="640" t="str">
        <f t="shared" ref="C171:C213" si="3">A171&amp;"/"&amp;B171</f>
        <v>2/701</v>
      </c>
      <c r="D171" s="639">
        <v>235400</v>
      </c>
    </row>
    <row r="172" spans="1:4" x14ac:dyDescent="0.2">
      <c r="A172">
        <v>2</v>
      </c>
      <c r="B172">
        <v>702</v>
      </c>
      <c r="C172" s="640" t="str">
        <f t="shared" si="3"/>
        <v>2/702</v>
      </c>
      <c r="D172" s="639">
        <v>231500</v>
      </c>
    </row>
    <row r="173" spans="1:4" x14ac:dyDescent="0.2">
      <c r="A173">
        <v>2</v>
      </c>
      <c r="B173">
        <v>703</v>
      </c>
      <c r="C173" s="640" t="str">
        <f t="shared" si="3"/>
        <v>2/703</v>
      </c>
      <c r="D173" s="639">
        <v>226900</v>
      </c>
    </row>
    <row r="174" spans="1:4" x14ac:dyDescent="0.2">
      <c r="A174">
        <v>2</v>
      </c>
      <c r="B174">
        <v>704</v>
      </c>
      <c r="C174" s="640" t="str">
        <f t="shared" si="3"/>
        <v>2/704</v>
      </c>
      <c r="D174" s="639">
        <v>230700</v>
      </c>
    </row>
    <row r="175" spans="1:4" x14ac:dyDescent="0.2">
      <c r="A175">
        <v>2</v>
      </c>
      <c r="B175">
        <v>705</v>
      </c>
      <c r="C175" s="640" t="str">
        <f t="shared" si="3"/>
        <v>2/705</v>
      </c>
      <c r="D175" s="639">
        <v>230700</v>
      </c>
    </row>
    <row r="176" spans="1:4" x14ac:dyDescent="0.2">
      <c r="A176">
        <v>2</v>
      </c>
      <c r="B176">
        <v>706</v>
      </c>
      <c r="C176" s="640" t="str">
        <f t="shared" si="3"/>
        <v>2/706</v>
      </c>
      <c r="D176" s="639">
        <v>226900</v>
      </c>
    </row>
    <row r="177" spans="1:4" x14ac:dyDescent="0.2">
      <c r="A177">
        <v>2</v>
      </c>
      <c r="B177">
        <v>707</v>
      </c>
      <c r="C177" s="640" t="str">
        <f t="shared" si="3"/>
        <v>2/707</v>
      </c>
      <c r="D177" s="639">
        <v>231500</v>
      </c>
    </row>
    <row r="178" spans="1:4" x14ac:dyDescent="0.2">
      <c r="A178">
        <v>2</v>
      </c>
      <c r="B178">
        <v>708</v>
      </c>
      <c r="C178" s="640" t="str">
        <f t="shared" si="3"/>
        <v>2/708</v>
      </c>
      <c r="D178" s="639">
        <v>235400</v>
      </c>
    </row>
    <row r="179" spans="1:4" x14ac:dyDescent="0.2">
      <c r="A179">
        <v>2</v>
      </c>
      <c r="B179">
        <v>801</v>
      </c>
      <c r="C179" s="640" t="str">
        <f t="shared" si="3"/>
        <v>2/801</v>
      </c>
      <c r="D179" s="639">
        <v>235400</v>
      </c>
    </row>
    <row r="180" spans="1:4" x14ac:dyDescent="0.2">
      <c r="A180">
        <v>2</v>
      </c>
      <c r="B180">
        <v>802</v>
      </c>
      <c r="C180" s="640" t="str">
        <f t="shared" si="3"/>
        <v>2/802</v>
      </c>
      <c r="D180" s="639">
        <v>231500</v>
      </c>
    </row>
    <row r="181" spans="1:4" x14ac:dyDescent="0.2">
      <c r="A181">
        <v>2</v>
      </c>
      <c r="B181">
        <v>803</v>
      </c>
      <c r="C181" s="640" t="str">
        <f t="shared" si="3"/>
        <v>2/803</v>
      </c>
      <c r="D181" s="639">
        <v>226900</v>
      </c>
    </row>
    <row r="182" spans="1:4" x14ac:dyDescent="0.2">
      <c r="A182">
        <v>2</v>
      </c>
      <c r="B182">
        <v>804</v>
      </c>
      <c r="C182" s="640" t="str">
        <f t="shared" si="3"/>
        <v>2/804</v>
      </c>
      <c r="D182" s="639">
        <v>230700</v>
      </c>
    </row>
    <row r="183" spans="1:4" x14ac:dyDescent="0.2">
      <c r="A183">
        <v>2</v>
      </c>
      <c r="B183">
        <v>805</v>
      </c>
      <c r="C183" s="640" t="str">
        <f t="shared" si="3"/>
        <v>2/805</v>
      </c>
      <c r="D183" s="639">
        <v>230700</v>
      </c>
    </row>
    <row r="184" spans="1:4" x14ac:dyDescent="0.2">
      <c r="A184">
        <v>2</v>
      </c>
      <c r="B184">
        <v>806</v>
      </c>
      <c r="C184" s="640" t="str">
        <f t="shared" si="3"/>
        <v>2/806</v>
      </c>
      <c r="D184" s="639">
        <v>226900</v>
      </c>
    </row>
    <row r="185" spans="1:4" x14ac:dyDescent="0.2">
      <c r="A185">
        <v>2</v>
      </c>
      <c r="B185">
        <v>807</v>
      </c>
      <c r="C185" s="640" t="str">
        <f t="shared" si="3"/>
        <v>2/807</v>
      </c>
      <c r="D185" s="639">
        <v>231500</v>
      </c>
    </row>
    <row r="186" spans="1:4" x14ac:dyDescent="0.2">
      <c r="A186">
        <v>2</v>
      </c>
      <c r="B186">
        <v>808</v>
      </c>
      <c r="C186" s="640" t="str">
        <f t="shared" si="3"/>
        <v>2/808</v>
      </c>
      <c r="D186" s="639">
        <v>235400</v>
      </c>
    </row>
    <row r="187" spans="1:4" x14ac:dyDescent="0.2">
      <c r="A187">
        <v>2</v>
      </c>
      <c r="B187">
        <v>901</v>
      </c>
      <c r="C187" s="640" t="str">
        <f t="shared" si="3"/>
        <v>2/901</v>
      </c>
      <c r="D187" s="639">
        <v>235400</v>
      </c>
    </row>
    <row r="188" spans="1:4" x14ac:dyDescent="0.2">
      <c r="A188">
        <v>2</v>
      </c>
      <c r="B188">
        <v>902</v>
      </c>
      <c r="C188" s="640" t="str">
        <f t="shared" si="3"/>
        <v>2/902</v>
      </c>
      <c r="D188" s="639">
        <v>231500</v>
      </c>
    </row>
    <row r="189" spans="1:4" x14ac:dyDescent="0.2">
      <c r="A189">
        <v>2</v>
      </c>
      <c r="B189">
        <v>903</v>
      </c>
      <c r="C189" s="640" t="str">
        <f t="shared" si="3"/>
        <v>2/903</v>
      </c>
      <c r="D189" s="639">
        <v>226900</v>
      </c>
    </row>
    <row r="190" spans="1:4" x14ac:dyDescent="0.2">
      <c r="A190">
        <v>2</v>
      </c>
      <c r="B190">
        <v>904</v>
      </c>
      <c r="C190" s="640" t="str">
        <f t="shared" si="3"/>
        <v>2/904</v>
      </c>
      <c r="D190" s="639">
        <v>230700</v>
      </c>
    </row>
    <row r="191" spans="1:4" x14ac:dyDescent="0.2">
      <c r="A191">
        <v>2</v>
      </c>
      <c r="B191">
        <v>905</v>
      </c>
      <c r="C191" s="640" t="str">
        <f t="shared" si="3"/>
        <v>2/905</v>
      </c>
      <c r="D191" s="639">
        <v>230700</v>
      </c>
    </row>
    <row r="192" spans="1:4" x14ac:dyDescent="0.2">
      <c r="A192">
        <v>2</v>
      </c>
      <c r="B192">
        <v>906</v>
      </c>
      <c r="C192" s="640" t="str">
        <f t="shared" si="3"/>
        <v>2/906</v>
      </c>
      <c r="D192" s="639">
        <v>226900</v>
      </c>
    </row>
    <row r="193" spans="1:4" x14ac:dyDescent="0.2">
      <c r="A193">
        <v>2</v>
      </c>
      <c r="B193">
        <v>907</v>
      </c>
      <c r="C193" s="640" t="str">
        <f t="shared" si="3"/>
        <v>2/907</v>
      </c>
      <c r="D193" s="639">
        <v>231500</v>
      </c>
    </row>
    <row r="194" spans="1:4" x14ac:dyDescent="0.2">
      <c r="A194">
        <v>2</v>
      </c>
      <c r="B194">
        <v>908</v>
      </c>
      <c r="C194" s="640" t="str">
        <f t="shared" si="3"/>
        <v>2/908</v>
      </c>
      <c r="D194" s="639">
        <v>235400</v>
      </c>
    </row>
    <row r="195" spans="1:4" x14ac:dyDescent="0.2">
      <c r="A195">
        <v>2</v>
      </c>
      <c r="B195">
        <v>1001</v>
      </c>
      <c r="C195" s="640" t="str">
        <f t="shared" si="3"/>
        <v>2/1001</v>
      </c>
      <c r="D195" s="639">
        <v>237800</v>
      </c>
    </row>
    <row r="196" spans="1:4" x14ac:dyDescent="0.2">
      <c r="A196">
        <v>2</v>
      </c>
      <c r="B196">
        <v>1002</v>
      </c>
      <c r="C196" s="640" t="str">
        <f t="shared" si="3"/>
        <v>2/1002</v>
      </c>
      <c r="D196" s="639">
        <v>233800</v>
      </c>
    </row>
    <row r="197" spans="1:4" x14ac:dyDescent="0.2">
      <c r="A197">
        <v>2</v>
      </c>
      <c r="B197">
        <v>1003</v>
      </c>
      <c r="C197" s="640" t="str">
        <f t="shared" si="3"/>
        <v>2/1003</v>
      </c>
      <c r="D197" s="639">
        <v>229200</v>
      </c>
    </row>
    <row r="198" spans="1:4" x14ac:dyDescent="0.2">
      <c r="A198">
        <v>2</v>
      </c>
      <c r="B198">
        <v>1004</v>
      </c>
      <c r="C198" s="640" t="str">
        <f t="shared" si="3"/>
        <v>2/1004</v>
      </c>
      <c r="D198" s="639">
        <v>233000</v>
      </c>
    </row>
    <row r="199" spans="1:4" x14ac:dyDescent="0.2">
      <c r="A199">
        <v>2</v>
      </c>
      <c r="B199">
        <v>1005</v>
      </c>
      <c r="C199" s="640" t="str">
        <f t="shared" si="3"/>
        <v>2/1005</v>
      </c>
      <c r="D199" s="639">
        <v>233000</v>
      </c>
    </row>
    <row r="200" spans="1:4" x14ac:dyDescent="0.2">
      <c r="A200">
        <v>2</v>
      </c>
      <c r="B200">
        <v>1006</v>
      </c>
      <c r="C200" s="640" t="str">
        <f t="shared" si="3"/>
        <v>2/1006</v>
      </c>
      <c r="D200" s="639">
        <v>229200</v>
      </c>
    </row>
    <row r="201" spans="1:4" x14ac:dyDescent="0.2">
      <c r="A201">
        <v>2</v>
      </c>
      <c r="B201">
        <v>1007</v>
      </c>
      <c r="C201" s="640" t="str">
        <f t="shared" si="3"/>
        <v>2/1007</v>
      </c>
      <c r="D201" s="639">
        <v>233800</v>
      </c>
    </row>
    <row r="202" spans="1:4" x14ac:dyDescent="0.2">
      <c r="A202">
        <v>2</v>
      </c>
      <c r="B202">
        <v>1008</v>
      </c>
      <c r="C202" s="640" t="str">
        <f t="shared" si="3"/>
        <v>2/1008</v>
      </c>
      <c r="D202" s="639">
        <v>237800</v>
      </c>
    </row>
    <row r="203" spans="1:4" x14ac:dyDescent="0.2">
      <c r="A203">
        <v>2</v>
      </c>
      <c r="B203">
        <v>1101</v>
      </c>
      <c r="C203" s="640" t="str">
        <f t="shared" si="3"/>
        <v>2/1101</v>
      </c>
      <c r="D203" s="639">
        <v>237800</v>
      </c>
    </row>
    <row r="204" spans="1:4" x14ac:dyDescent="0.2">
      <c r="A204">
        <v>2</v>
      </c>
      <c r="B204">
        <v>1102</v>
      </c>
      <c r="C204" s="640" t="str">
        <f t="shared" si="3"/>
        <v>2/1102</v>
      </c>
      <c r="D204" s="639">
        <v>233800</v>
      </c>
    </row>
    <row r="205" spans="1:4" x14ac:dyDescent="0.2">
      <c r="A205">
        <v>2</v>
      </c>
      <c r="B205">
        <v>1103</v>
      </c>
      <c r="C205" s="640" t="str">
        <f t="shared" si="3"/>
        <v>2/1103</v>
      </c>
      <c r="D205" s="639">
        <v>229200</v>
      </c>
    </row>
    <row r="206" spans="1:4" x14ac:dyDescent="0.2">
      <c r="A206">
        <v>2</v>
      </c>
      <c r="B206">
        <v>1104</v>
      </c>
      <c r="C206" s="640" t="str">
        <f t="shared" si="3"/>
        <v>2/1104</v>
      </c>
      <c r="D206" s="639">
        <v>233000</v>
      </c>
    </row>
    <row r="207" spans="1:4" x14ac:dyDescent="0.2">
      <c r="A207">
        <v>2</v>
      </c>
      <c r="B207">
        <v>1105</v>
      </c>
      <c r="C207" s="640" t="str">
        <f t="shared" si="3"/>
        <v>2/1105</v>
      </c>
      <c r="D207" s="639">
        <v>233000</v>
      </c>
    </row>
    <row r="208" spans="1:4" x14ac:dyDescent="0.2">
      <c r="A208">
        <v>2</v>
      </c>
      <c r="B208">
        <v>1106</v>
      </c>
      <c r="C208" s="640" t="str">
        <f t="shared" si="3"/>
        <v>2/1106</v>
      </c>
      <c r="D208" s="639">
        <v>229200</v>
      </c>
    </row>
    <row r="209" spans="1:4" x14ac:dyDescent="0.2">
      <c r="A209">
        <v>2</v>
      </c>
      <c r="B209">
        <v>1107</v>
      </c>
      <c r="C209" s="640" t="str">
        <f t="shared" si="3"/>
        <v>2/1107</v>
      </c>
      <c r="D209" s="639">
        <v>233800</v>
      </c>
    </row>
    <row r="210" spans="1:4" x14ac:dyDescent="0.2">
      <c r="A210">
        <v>2</v>
      </c>
      <c r="B210">
        <v>1108</v>
      </c>
      <c r="C210" s="640" t="str">
        <f t="shared" si="3"/>
        <v>2/1108</v>
      </c>
      <c r="D210" s="639">
        <v>237800</v>
      </c>
    </row>
    <row r="211" spans="1:4" x14ac:dyDescent="0.2">
      <c r="A211">
        <v>2</v>
      </c>
      <c r="B211">
        <v>1201</v>
      </c>
      <c r="C211" s="640" t="str">
        <f t="shared" si="3"/>
        <v>2/1201</v>
      </c>
      <c r="D211" s="639">
        <v>237800</v>
      </c>
    </row>
    <row r="212" spans="1:4" x14ac:dyDescent="0.2">
      <c r="A212">
        <v>2</v>
      </c>
      <c r="B212">
        <v>1202</v>
      </c>
      <c r="C212" s="640" t="str">
        <f t="shared" si="3"/>
        <v>2/1202</v>
      </c>
      <c r="D212" s="639">
        <v>233800</v>
      </c>
    </row>
    <row r="213" spans="1:4" x14ac:dyDescent="0.2">
      <c r="A213">
        <v>2</v>
      </c>
      <c r="B213">
        <v>1203</v>
      </c>
      <c r="C213" s="640" t="str">
        <f t="shared" si="3"/>
        <v>2/1203</v>
      </c>
      <c r="D213" s="639">
        <v>229200</v>
      </c>
    </row>
    <row r="214" spans="1:4" x14ac:dyDescent="0.2">
      <c r="A214">
        <v>2</v>
      </c>
      <c r="B214">
        <v>1204</v>
      </c>
      <c r="C214" s="640" t="str">
        <f t="shared" ref="C214:C242" si="4">A214&amp;"/"&amp;B214</f>
        <v>2/1204</v>
      </c>
      <c r="D214" s="639">
        <v>233000</v>
      </c>
    </row>
    <row r="215" spans="1:4" x14ac:dyDescent="0.2">
      <c r="A215">
        <v>2</v>
      </c>
      <c r="B215">
        <v>1205</v>
      </c>
      <c r="C215" s="640" t="str">
        <f t="shared" si="4"/>
        <v>2/1205</v>
      </c>
      <c r="D215" s="639">
        <v>233000</v>
      </c>
    </row>
    <row r="216" spans="1:4" x14ac:dyDescent="0.2">
      <c r="A216">
        <v>2</v>
      </c>
      <c r="B216">
        <v>1206</v>
      </c>
      <c r="C216" s="640" t="str">
        <f t="shared" si="4"/>
        <v>2/1206</v>
      </c>
      <c r="D216" s="639">
        <v>229200</v>
      </c>
    </row>
    <row r="217" spans="1:4" x14ac:dyDescent="0.2">
      <c r="A217">
        <v>2</v>
      </c>
      <c r="B217">
        <v>1207</v>
      </c>
      <c r="C217" s="640" t="str">
        <f t="shared" si="4"/>
        <v>2/1207</v>
      </c>
      <c r="D217" s="639">
        <v>233800</v>
      </c>
    </row>
    <row r="218" spans="1:4" x14ac:dyDescent="0.2">
      <c r="A218">
        <v>2</v>
      </c>
      <c r="B218">
        <v>1208</v>
      </c>
      <c r="C218" s="640" t="str">
        <f t="shared" si="4"/>
        <v>2/1208</v>
      </c>
      <c r="D218" s="639">
        <v>237800</v>
      </c>
    </row>
    <row r="219" spans="1:4" x14ac:dyDescent="0.2">
      <c r="A219">
        <v>2</v>
      </c>
      <c r="B219">
        <v>1301</v>
      </c>
      <c r="C219" s="640" t="str">
        <f t="shared" si="4"/>
        <v>2/1301</v>
      </c>
      <c r="D219" s="639">
        <v>237800</v>
      </c>
    </row>
    <row r="220" spans="1:4" x14ac:dyDescent="0.2">
      <c r="A220">
        <v>2</v>
      </c>
      <c r="B220">
        <v>1302</v>
      </c>
      <c r="C220" s="640" t="str">
        <f t="shared" si="4"/>
        <v>2/1302</v>
      </c>
      <c r="D220" s="639">
        <v>233800</v>
      </c>
    </row>
    <row r="221" spans="1:4" x14ac:dyDescent="0.2">
      <c r="A221">
        <v>2</v>
      </c>
      <c r="B221">
        <v>1303</v>
      </c>
      <c r="C221" s="640" t="str">
        <f t="shared" si="4"/>
        <v>2/1303</v>
      </c>
      <c r="D221" s="639">
        <v>229200</v>
      </c>
    </row>
    <row r="222" spans="1:4" x14ac:dyDescent="0.2">
      <c r="A222">
        <v>2</v>
      </c>
      <c r="B222">
        <v>1304</v>
      </c>
      <c r="C222" s="640" t="str">
        <f t="shared" si="4"/>
        <v>2/1304</v>
      </c>
      <c r="D222" s="639">
        <v>233000</v>
      </c>
    </row>
    <row r="223" spans="1:4" x14ac:dyDescent="0.2">
      <c r="A223">
        <v>2</v>
      </c>
      <c r="B223">
        <v>1305</v>
      </c>
      <c r="C223" s="640" t="str">
        <f t="shared" si="4"/>
        <v>2/1305</v>
      </c>
      <c r="D223" s="639">
        <v>233000</v>
      </c>
    </row>
    <row r="224" spans="1:4" x14ac:dyDescent="0.2">
      <c r="A224">
        <v>2</v>
      </c>
      <c r="B224">
        <v>1306</v>
      </c>
      <c r="C224" s="640" t="str">
        <f t="shared" si="4"/>
        <v>2/1306</v>
      </c>
      <c r="D224" s="639">
        <v>229200</v>
      </c>
    </row>
    <row r="225" spans="1:4" x14ac:dyDescent="0.2">
      <c r="A225">
        <v>2</v>
      </c>
      <c r="B225">
        <v>1307</v>
      </c>
      <c r="C225" s="640" t="str">
        <f t="shared" si="4"/>
        <v>2/1307</v>
      </c>
      <c r="D225" s="639">
        <v>233800</v>
      </c>
    </row>
    <row r="226" spans="1:4" x14ac:dyDescent="0.2">
      <c r="A226">
        <v>2</v>
      </c>
      <c r="B226">
        <v>1308</v>
      </c>
      <c r="C226" s="640" t="str">
        <f t="shared" si="4"/>
        <v>2/1308</v>
      </c>
      <c r="D226" s="639">
        <v>237800</v>
      </c>
    </row>
    <row r="227" spans="1:4" x14ac:dyDescent="0.2">
      <c r="A227">
        <v>2</v>
      </c>
      <c r="B227">
        <v>1401</v>
      </c>
      <c r="C227" s="640" t="str">
        <f t="shared" si="4"/>
        <v>2/1401</v>
      </c>
      <c r="D227" s="639">
        <v>239000</v>
      </c>
    </row>
    <row r="228" spans="1:4" x14ac:dyDescent="0.2">
      <c r="A228">
        <v>2</v>
      </c>
      <c r="B228">
        <v>1402</v>
      </c>
      <c r="C228" s="640" t="str">
        <f t="shared" si="4"/>
        <v>2/1402</v>
      </c>
      <c r="D228" s="639">
        <v>235000</v>
      </c>
    </row>
    <row r="229" spans="1:4" x14ac:dyDescent="0.2">
      <c r="A229">
        <v>2</v>
      </c>
      <c r="B229">
        <v>1403</v>
      </c>
      <c r="C229" s="640" t="str">
        <f t="shared" si="4"/>
        <v>2/1403</v>
      </c>
      <c r="D229" s="639">
        <v>230300</v>
      </c>
    </row>
    <row r="230" spans="1:4" x14ac:dyDescent="0.2">
      <c r="A230">
        <v>2</v>
      </c>
      <c r="B230">
        <v>1404</v>
      </c>
      <c r="C230" s="640" t="str">
        <f t="shared" si="4"/>
        <v>2/1404</v>
      </c>
      <c r="D230" s="639">
        <v>234200</v>
      </c>
    </row>
    <row r="231" spans="1:4" x14ac:dyDescent="0.2">
      <c r="A231">
        <v>2</v>
      </c>
      <c r="B231">
        <v>1405</v>
      </c>
      <c r="C231" s="640" t="str">
        <f t="shared" si="4"/>
        <v>2/1405</v>
      </c>
      <c r="D231" s="639">
        <v>234200</v>
      </c>
    </row>
    <row r="232" spans="1:4" x14ac:dyDescent="0.2">
      <c r="A232">
        <v>2</v>
      </c>
      <c r="B232">
        <v>1406</v>
      </c>
      <c r="C232" s="640" t="str">
        <f t="shared" si="4"/>
        <v>2/1406</v>
      </c>
      <c r="D232" s="639">
        <v>230300</v>
      </c>
    </row>
    <row r="233" spans="1:4" x14ac:dyDescent="0.2">
      <c r="A233">
        <v>2</v>
      </c>
      <c r="B233">
        <v>1407</v>
      </c>
      <c r="C233" s="640" t="str">
        <f t="shared" si="4"/>
        <v>2/1407</v>
      </c>
      <c r="D233" s="639">
        <v>235000</v>
      </c>
    </row>
    <row r="234" spans="1:4" x14ac:dyDescent="0.2">
      <c r="A234">
        <v>2</v>
      </c>
      <c r="B234">
        <v>1408</v>
      </c>
      <c r="C234" s="640" t="str">
        <f t="shared" si="4"/>
        <v>2/1408</v>
      </c>
      <c r="D234" s="639">
        <v>239000</v>
      </c>
    </row>
    <row r="235" spans="1:4" x14ac:dyDescent="0.2">
      <c r="A235">
        <v>2</v>
      </c>
      <c r="B235">
        <v>1501</v>
      </c>
      <c r="C235" s="640" t="str">
        <f t="shared" si="4"/>
        <v>2/1501</v>
      </c>
      <c r="D235" s="639">
        <v>239000</v>
      </c>
    </row>
    <row r="236" spans="1:4" x14ac:dyDescent="0.2">
      <c r="A236">
        <v>2</v>
      </c>
      <c r="B236">
        <v>1502</v>
      </c>
      <c r="C236" s="640" t="str">
        <f t="shared" si="4"/>
        <v>2/1502</v>
      </c>
      <c r="D236" s="639">
        <v>225000</v>
      </c>
    </row>
    <row r="237" spans="1:4" x14ac:dyDescent="0.2">
      <c r="A237">
        <v>2</v>
      </c>
      <c r="B237">
        <v>1503</v>
      </c>
      <c r="C237" s="640" t="str">
        <f t="shared" si="4"/>
        <v>2/1503</v>
      </c>
      <c r="D237" s="639">
        <v>225000</v>
      </c>
    </row>
    <row r="238" spans="1:4" x14ac:dyDescent="0.2">
      <c r="A238">
        <v>2</v>
      </c>
      <c r="B238">
        <v>1504</v>
      </c>
      <c r="C238" s="640" t="str">
        <f t="shared" si="4"/>
        <v>2/1504</v>
      </c>
      <c r="D238" s="639">
        <v>234200</v>
      </c>
    </row>
    <row r="239" spans="1:4" x14ac:dyDescent="0.2">
      <c r="A239">
        <v>2</v>
      </c>
      <c r="B239">
        <v>1505</v>
      </c>
      <c r="C239" s="640" t="str">
        <f t="shared" si="4"/>
        <v>2/1505</v>
      </c>
      <c r="D239" s="639">
        <v>234200</v>
      </c>
    </row>
    <row r="240" spans="1:4" x14ac:dyDescent="0.2">
      <c r="A240">
        <v>2</v>
      </c>
      <c r="B240">
        <v>1506</v>
      </c>
      <c r="C240" s="640" t="str">
        <f t="shared" si="4"/>
        <v>2/1506</v>
      </c>
      <c r="D240" s="639">
        <v>225000</v>
      </c>
    </row>
    <row r="241" spans="1:4" x14ac:dyDescent="0.2">
      <c r="A241">
        <v>2</v>
      </c>
      <c r="B241">
        <v>1507</v>
      </c>
      <c r="C241" s="640" t="str">
        <f t="shared" si="4"/>
        <v>2/1507</v>
      </c>
      <c r="D241" s="639">
        <v>225000</v>
      </c>
    </row>
    <row r="242" spans="1:4" x14ac:dyDescent="0.2">
      <c r="A242">
        <v>2</v>
      </c>
      <c r="B242">
        <v>1508</v>
      </c>
      <c r="C242" s="640" t="str">
        <f t="shared" si="4"/>
        <v>2/1508</v>
      </c>
      <c r="D242" s="639">
        <v>239000</v>
      </c>
    </row>
  </sheetData>
  <sheetProtection password="FC71" sheet="1" objects="1" scenarios="1"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9:D48"/>
  <sheetViews>
    <sheetView topLeftCell="A32" workbookViewId="0">
      <selection activeCell="B48" sqref="B48"/>
    </sheetView>
  </sheetViews>
  <sheetFormatPr defaultRowHeight="12.75" x14ac:dyDescent="0.2"/>
  <cols>
    <col min="1" max="1" width="10.5703125" customWidth="1"/>
  </cols>
  <sheetData>
    <row r="9" spans="1:4" x14ac:dyDescent="0.2">
      <c r="B9" s="538">
        <v>42795</v>
      </c>
    </row>
    <row r="10" spans="1:4" x14ac:dyDescent="0.2">
      <c r="B10" s="538">
        <v>42826</v>
      </c>
    </row>
    <row r="11" spans="1:4" x14ac:dyDescent="0.2">
      <c r="A11" s="346" t="s">
        <v>451</v>
      </c>
      <c r="B11" s="538">
        <v>42856</v>
      </c>
      <c r="C11" s="346" t="s">
        <v>452</v>
      </c>
    </row>
    <row r="12" spans="1:4" x14ac:dyDescent="0.2">
      <c r="B12" s="538">
        <v>42887</v>
      </c>
      <c r="C12" s="346" t="s">
        <v>452</v>
      </c>
    </row>
    <row r="13" spans="1:4" x14ac:dyDescent="0.2">
      <c r="B13" s="538">
        <v>42917</v>
      </c>
      <c r="C13" s="346" t="s">
        <v>452</v>
      </c>
    </row>
    <row r="14" spans="1:4" x14ac:dyDescent="0.2">
      <c r="B14" s="538">
        <v>42948</v>
      </c>
      <c r="C14" s="346" t="s">
        <v>452</v>
      </c>
    </row>
    <row r="15" spans="1:4" x14ac:dyDescent="0.2">
      <c r="B15" s="538">
        <v>42979</v>
      </c>
      <c r="C15" s="346" t="s">
        <v>452</v>
      </c>
    </row>
    <row r="16" spans="1:4" x14ac:dyDescent="0.2">
      <c r="B16" s="538">
        <v>43009</v>
      </c>
      <c r="D16" s="346" t="s">
        <v>453</v>
      </c>
    </row>
    <row r="17" spans="1:4" x14ac:dyDescent="0.2">
      <c r="B17" s="538">
        <v>43040</v>
      </c>
      <c r="D17" s="346" t="s">
        <v>453</v>
      </c>
    </row>
    <row r="18" spans="1:4" x14ac:dyDescent="0.2">
      <c r="B18" s="538">
        <v>43070</v>
      </c>
      <c r="D18" s="346" t="s">
        <v>453</v>
      </c>
    </row>
    <row r="19" spans="1:4" x14ac:dyDescent="0.2">
      <c r="A19" s="346" t="s">
        <v>454</v>
      </c>
      <c r="B19" s="538">
        <v>43101</v>
      </c>
      <c r="D19" s="652" t="s">
        <v>453</v>
      </c>
    </row>
    <row r="20" spans="1:4" x14ac:dyDescent="0.2">
      <c r="B20" s="538">
        <v>43132</v>
      </c>
      <c r="D20" s="652" t="s">
        <v>453</v>
      </c>
    </row>
    <row r="21" spans="1:4" x14ac:dyDescent="0.2">
      <c r="B21" s="538">
        <v>43160</v>
      </c>
      <c r="D21" s="652" t="s">
        <v>453</v>
      </c>
    </row>
    <row r="22" spans="1:4" x14ac:dyDescent="0.2">
      <c r="B22" s="538">
        <v>43191</v>
      </c>
      <c r="D22" s="652" t="s">
        <v>453</v>
      </c>
    </row>
    <row r="23" spans="1:4" x14ac:dyDescent="0.2">
      <c r="B23" s="538">
        <v>43221</v>
      </c>
      <c r="D23" s="652" t="s">
        <v>453</v>
      </c>
    </row>
    <row r="24" spans="1:4" x14ac:dyDescent="0.2">
      <c r="B24" s="538">
        <v>43252</v>
      </c>
      <c r="D24" s="652" t="s">
        <v>453</v>
      </c>
    </row>
    <row r="25" spans="1:4" x14ac:dyDescent="0.2">
      <c r="B25" s="538">
        <v>43282</v>
      </c>
      <c r="D25" s="652" t="s">
        <v>453</v>
      </c>
    </row>
    <row r="26" spans="1:4" x14ac:dyDescent="0.2">
      <c r="B26" s="538">
        <v>43313</v>
      </c>
      <c r="D26" s="652" t="s">
        <v>453</v>
      </c>
    </row>
    <row r="27" spans="1:4" x14ac:dyDescent="0.2">
      <c r="B27" s="538">
        <v>43344</v>
      </c>
      <c r="D27" s="652" t="s">
        <v>453</v>
      </c>
    </row>
    <row r="28" spans="1:4" x14ac:dyDescent="0.2">
      <c r="B28" s="538">
        <v>43374</v>
      </c>
      <c r="D28" s="652" t="s">
        <v>453</v>
      </c>
    </row>
    <row r="29" spans="1:4" x14ac:dyDescent="0.2">
      <c r="B29" s="538">
        <v>43405</v>
      </c>
      <c r="D29" s="652" t="s">
        <v>453</v>
      </c>
    </row>
    <row r="30" spans="1:4" x14ac:dyDescent="0.2">
      <c r="B30" s="538">
        <v>43435</v>
      </c>
      <c r="D30" s="652" t="s">
        <v>453</v>
      </c>
    </row>
    <row r="31" spans="1:4" x14ac:dyDescent="0.2">
      <c r="B31" s="538">
        <v>43466</v>
      </c>
      <c r="D31" s="652" t="s">
        <v>453</v>
      </c>
    </row>
    <row r="32" spans="1:4" x14ac:dyDescent="0.2">
      <c r="B32" s="538">
        <v>43497</v>
      </c>
      <c r="D32" s="652" t="s">
        <v>453</v>
      </c>
    </row>
    <row r="33" spans="1:4" x14ac:dyDescent="0.2">
      <c r="B33" s="538">
        <v>43525</v>
      </c>
      <c r="D33" s="652" t="s">
        <v>453</v>
      </c>
    </row>
    <row r="34" spans="1:4" x14ac:dyDescent="0.2">
      <c r="B34" s="538">
        <v>43556</v>
      </c>
      <c r="D34" s="652" t="s">
        <v>453</v>
      </c>
    </row>
    <row r="35" spans="1:4" x14ac:dyDescent="0.2">
      <c r="B35" s="538">
        <v>43586</v>
      </c>
      <c r="D35" s="652" t="s">
        <v>453</v>
      </c>
    </row>
    <row r="36" spans="1:4" x14ac:dyDescent="0.2">
      <c r="B36" s="538">
        <v>43617</v>
      </c>
      <c r="D36" s="652" t="s">
        <v>453</v>
      </c>
    </row>
    <row r="37" spans="1:4" x14ac:dyDescent="0.2">
      <c r="B37" s="538">
        <v>43647</v>
      </c>
      <c r="D37" s="652" t="s">
        <v>453</v>
      </c>
    </row>
    <row r="38" spans="1:4" x14ac:dyDescent="0.2">
      <c r="B38" s="538">
        <v>43678</v>
      </c>
      <c r="D38" s="652" t="s">
        <v>453</v>
      </c>
    </row>
    <row r="39" spans="1:4" x14ac:dyDescent="0.2">
      <c r="B39" s="538">
        <v>43709</v>
      </c>
      <c r="D39" s="652" t="s">
        <v>453</v>
      </c>
    </row>
    <row r="40" spans="1:4" x14ac:dyDescent="0.2">
      <c r="B40" s="538">
        <v>43739</v>
      </c>
      <c r="D40" s="652" t="s">
        <v>453</v>
      </c>
    </row>
    <row r="41" spans="1:4" x14ac:dyDescent="0.2">
      <c r="A41" s="346" t="s">
        <v>16</v>
      </c>
      <c r="B41" s="538">
        <v>43770</v>
      </c>
      <c r="D41" s="652" t="s">
        <v>453</v>
      </c>
    </row>
    <row r="42" spans="1:4" x14ac:dyDescent="0.2">
      <c r="A42" s="346" t="s">
        <v>455</v>
      </c>
      <c r="B42" s="538">
        <v>43800</v>
      </c>
      <c r="D42" s="653" t="s">
        <v>453</v>
      </c>
    </row>
    <row r="43" spans="1:4" x14ac:dyDescent="0.2">
      <c r="B43" s="538">
        <v>43831</v>
      </c>
      <c r="D43" s="346" t="s">
        <v>453</v>
      </c>
    </row>
    <row r="44" spans="1:4" x14ac:dyDescent="0.2">
      <c r="B44" s="538">
        <v>43862</v>
      </c>
      <c r="D44" s="346" t="s">
        <v>453</v>
      </c>
    </row>
    <row r="45" spans="1:4" x14ac:dyDescent="0.2">
      <c r="B45" s="538">
        <v>43891</v>
      </c>
      <c r="D45" s="346" t="s">
        <v>453</v>
      </c>
    </row>
    <row r="46" spans="1:4" x14ac:dyDescent="0.2">
      <c r="B46" s="538">
        <v>43922</v>
      </c>
    </row>
    <row r="47" spans="1:4" x14ac:dyDescent="0.2">
      <c r="B47" s="538">
        <v>43952</v>
      </c>
    </row>
    <row r="48" spans="1:4" x14ac:dyDescent="0.2">
      <c r="B48" s="538">
        <v>43983</v>
      </c>
    </row>
  </sheetData>
  <sheetProtection password="F3B1" sheet="1" objects="1" scenarios="1"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2.75" x14ac:dyDescent="0.2"/>
  <cols>
    <col min="1" max="1" width="25.28515625" bestFit="1" customWidth="1"/>
    <col min="2" max="2" width="10.140625" bestFit="1" customWidth="1"/>
  </cols>
  <sheetData>
    <row r="1" spans="1:2" x14ac:dyDescent="0.2">
      <c r="A1" s="651">
        <v>42826</v>
      </c>
      <c r="B1" s="651">
        <f>EDATE(A1,37)</f>
        <v>43952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346" t="s">
        <v>208</v>
      </c>
    </row>
    <row r="2" spans="1:1" x14ac:dyDescent="0.2">
      <c r="A2" s="346" t="s">
        <v>209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346" t="s">
        <v>208</v>
      </c>
    </row>
    <row r="2" spans="1:1" x14ac:dyDescent="0.2">
      <c r="A2" s="346" t="s">
        <v>209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tabColor indexed="10"/>
  </sheetPr>
  <dimension ref="A1:L50"/>
  <sheetViews>
    <sheetView workbookViewId="0">
      <selection activeCell="C10" sqref="C10"/>
    </sheetView>
  </sheetViews>
  <sheetFormatPr defaultRowHeight="12.75" x14ac:dyDescent="0.2"/>
  <cols>
    <col min="1" max="1" width="10.42578125" style="669" bestFit="1" customWidth="1"/>
    <col min="2" max="2" width="17" style="669" customWidth="1"/>
    <col min="3" max="3" width="22.5703125" style="669" customWidth="1"/>
    <col min="4" max="4" width="17.28515625" style="669" customWidth="1"/>
    <col min="5" max="5" width="17" style="669" customWidth="1"/>
    <col min="6" max="6" width="9.140625" style="669"/>
    <col min="7" max="7" width="10.140625" style="669" bestFit="1" customWidth="1"/>
    <col min="8" max="11" width="9.140625" style="669"/>
    <col min="12" max="12" width="10.140625" style="669" bestFit="1" customWidth="1"/>
    <col min="13" max="16384" width="9.140625" style="669"/>
  </cols>
  <sheetData>
    <row r="1" spans="1:12" s="664" customFormat="1" ht="18" x14ac:dyDescent="0.2">
      <c r="A1"/>
      <c r="B1" s="746" t="str">
        <f>+'DADOS DOS EMPREENDIMENTOS'!O4</f>
        <v>Exato Rio Grande</v>
      </c>
      <c r="C1" s="747"/>
      <c r="D1" s="747"/>
      <c r="E1" s="747"/>
      <c r="F1" s="342"/>
    </row>
    <row r="2" spans="1:12" s="665" customFormat="1" ht="45" hidden="1" customHeight="1" x14ac:dyDescent="0.2">
      <c r="A2" s="347"/>
      <c r="B2" s="349" t="str">
        <f>CONCATENATE($B$1,B3)</f>
        <v>Exato Rio GrandeMÊS DE INÍCIO</v>
      </c>
      <c r="C2" s="349" t="str">
        <f>CONCATENATE($B$1,C3)</f>
        <v>Exato Rio GrandeQTDE PARCELAS</v>
      </c>
      <c r="D2" s="349" t="str">
        <f>CONCATENATE($B$1,D3)</f>
        <v>Exato Rio Grande% FLUXO</v>
      </c>
      <c r="E2" s="349" t="str">
        <f>CONCATENATE($B$1,E3)</f>
        <v>Exato Rio GrandeTOTAL</v>
      </c>
      <c r="F2" s="348"/>
    </row>
    <row r="3" spans="1:12" s="666" customFormat="1" ht="31.5" x14ac:dyDescent="0.2">
      <c r="A3" s="343"/>
      <c r="B3" s="344" t="s">
        <v>194</v>
      </c>
      <c r="C3" s="344" t="s">
        <v>186</v>
      </c>
      <c r="D3" s="344" t="s">
        <v>273</v>
      </c>
      <c r="E3" s="344" t="s">
        <v>68</v>
      </c>
      <c r="F3" s="345"/>
    </row>
    <row r="4" spans="1:12" s="664" customFormat="1" x14ac:dyDescent="0.2">
      <c r="A4" s="574" t="s">
        <v>184</v>
      </c>
      <c r="B4" s="574">
        <v>0</v>
      </c>
      <c r="C4" s="574">
        <v>1</v>
      </c>
      <c r="D4" s="583">
        <v>1.4999999999999999E-2</v>
      </c>
      <c r="E4" s="741" t="s">
        <v>184</v>
      </c>
      <c r="F4" s="342"/>
    </row>
    <row r="5" spans="1:12" s="664" customFormat="1" x14ac:dyDescent="0.2">
      <c r="A5" s="574" t="s">
        <v>184</v>
      </c>
      <c r="B5" s="574">
        <v>1</v>
      </c>
      <c r="C5" s="574">
        <v>1</v>
      </c>
      <c r="D5" s="575">
        <v>1.4999999999999999E-2</v>
      </c>
      <c r="E5" s="742"/>
      <c r="F5" s="342"/>
    </row>
    <row r="6" spans="1:12" s="664" customFormat="1" x14ac:dyDescent="0.2">
      <c r="A6" s="574" t="s">
        <v>184</v>
      </c>
      <c r="B6" s="574">
        <v>2</v>
      </c>
      <c r="C6" s="574">
        <v>1</v>
      </c>
      <c r="D6" s="575">
        <v>0.02</v>
      </c>
      <c r="E6" s="743"/>
      <c r="F6" s="342"/>
    </row>
    <row r="7" spans="1:12" s="667" customFormat="1" x14ac:dyDescent="0.2">
      <c r="A7" s="571" t="s">
        <v>35</v>
      </c>
      <c r="B7" s="573">
        <v>12</v>
      </c>
      <c r="C7" s="571">
        <v>1</v>
      </c>
      <c r="D7" s="592">
        <v>4.0500000000000001E-2</v>
      </c>
      <c r="E7" s="593" t="s">
        <v>295</v>
      </c>
      <c r="F7" s="577"/>
    </row>
    <row r="8" spans="1:12" s="667" customFormat="1" x14ac:dyDescent="0.2">
      <c r="A8" s="395" t="s">
        <v>281</v>
      </c>
      <c r="B8" s="572">
        <v>0</v>
      </c>
      <c r="C8" s="395">
        <v>0</v>
      </c>
      <c r="D8" s="396">
        <v>0</v>
      </c>
      <c r="E8" s="576" t="s">
        <v>294</v>
      </c>
      <c r="F8" s="577"/>
    </row>
    <row r="9" spans="1:12" s="664" customFormat="1" x14ac:dyDescent="0.2">
      <c r="A9" s="571" t="s">
        <v>282</v>
      </c>
      <c r="B9" s="573">
        <v>3</v>
      </c>
      <c r="C9" s="659">
        <v>8</v>
      </c>
      <c r="D9" s="600">
        <v>0.109</v>
      </c>
      <c r="E9" s="744" t="s">
        <v>295</v>
      </c>
      <c r="F9" s="342"/>
    </row>
    <row r="10" spans="1:12" s="664" customFormat="1" x14ac:dyDescent="0.2">
      <c r="A10" s="571" t="s">
        <v>40</v>
      </c>
      <c r="B10" s="573">
        <v>36</v>
      </c>
      <c r="C10" s="573">
        <v>1</v>
      </c>
      <c r="D10" s="578">
        <v>5.0000000000000001E-4</v>
      </c>
      <c r="E10" s="745"/>
      <c r="F10" s="342"/>
    </row>
    <row r="11" spans="1:12" s="664" customFormat="1" x14ac:dyDescent="0.2">
      <c r="A11" s="572" t="s">
        <v>18</v>
      </c>
      <c r="B11" s="572">
        <v>5</v>
      </c>
      <c r="C11" s="572">
        <v>1</v>
      </c>
      <c r="D11" s="579">
        <v>0.8</v>
      </c>
      <c r="E11" s="576" t="s">
        <v>18</v>
      </c>
      <c r="F11" s="342"/>
    </row>
    <row r="12" spans="1:12" s="664" customFormat="1" x14ac:dyDescent="0.2">
      <c r="A12"/>
      <c r="B12" s="341">
        <v>0</v>
      </c>
      <c r="C12" s="341">
        <v>0</v>
      </c>
      <c r="D12" s="354">
        <v>0</v>
      </c>
      <c r="E12" s="341"/>
      <c r="F12" s="342"/>
    </row>
    <row r="13" spans="1:12" s="664" customFormat="1" x14ac:dyDescent="0.2">
      <c r="A13"/>
      <c r="B13" s="341">
        <v>0</v>
      </c>
      <c r="C13" s="341">
        <v>0</v>
      </c>
      <c r="D13" s="354">
        <v>0</v>
      </c>
      <c r="E13" s="341"/>
      <c r="F13" s="342"/>
    </row>
    <row r="14" spans="1:12" s="664" customFormat="1" x14ac:dyDescent="0.2">
      <c r="A14"/>
      <c r="B14"/>
      <c r="C14"/>
      <c r="D14" s="388">
        <f>SUM(D4:D13)</f>
        <v>1</v>
      </c>
      <c r="E14"/>
      <c r="F14" s="342"/>
      <c r="L14" s="720"/>
    </row>
    <row r="15" spans="1:12" s="664" customFormat="1" x14ac:dyDescent="0.2">
      <c r="A15"/>
      <c r="B15"/>
      <c r="C15"/>
      <c r="D15"/>
      <c r="E15"/>
      <c r="F15" s="342"/>
    </row>
    <row r="16" spans="1:12" s="664" customFormat="1" x14ac:dyDescent="0.2">
      <c r="A16" s="651"/>
      <c r="B16"/>
      <c r="C16"/>
      <c r="D16" s="387"/>
      <c r="E16" s="350"/>
      <c r="F16" s="342"/>
    </row>
    <row r="17" spans="1:7" x14ac:dyDescent="0.2">
      <c r="A17" s="670"/>
      <c r="D17" s="671"/>
      <c r="F17" s="672"/>
    </row>
    <row r="18" spans="1:7" x14ac:dyDescent="0.2">
      <c r="A18" s="670">
        <v>43344</v>
      </c>
      <c r="B18" s="669">
        <v>1</v>
      </c>
      <c r="D18" s="673"/>
      <c r="E18" s="672"/>
      <c r="F18" s="672"/>
    </row>
    <row r="19" spans="1:7" x14ac:dyDescent="0.2">
      <c r="A19" s="670">
        <v>43374</v>
      </c>
      <c r="B19" s="669">
        <v>2</v>
      </c>
      <c r="C19" s="674"/>
      <c r="D19" s="673"/>
      <c r="F19" s="672"/>
      <c r="G19" s="670">
        <v>43344</v>
      </c>
    </row>
    <row r="20" spans="1:7" x14ac:dyDescent="0.2">
      <c r="A20" s="670">
        <v>43405</v>
      </c>
      <c r="B20" s="669">
        <v>3</v>
      </c>
      <c r="D20" s="673"/>
      <c r="F20" s="672"/>
      <c r="G20" s="670">
        <v>43374</v>
      </c>
    </row>
    <row r="21" spans="1:7" x14ac:dyDescent="0.2">
      <c r="A21" s="670">
        <v>43435</v>
      </c>
      <c r="B21" s="669">
        <v>4</v>
      </c>
      <c r="D21" s="673"/>
      <c r="F21" s="672"/>
    </row>
    <row r="22" spans="1:7" x14ac:dyDescent="0.2">
      <c r="A22" s="670">
        <v>43466</v>
      </c>
      <c r="B22" s="669">
        <v>5</v>
      </c>
      <c r="D22" s="673"/>
      <c r="F22" s="672"/>
    </row>
    <row r="23" spans="1:7" x14ac:dyDescent="0.2">
      <c r="A23" s="670">
        <v>43497</v>
      </c>
      <c r="B23" s="669">
        <v>6</v>
      </c>
      <c r="D23" s="673"/>
      <c r="F23" s="668"/>
    </row>
    <row r="24" spans="1:7" x14ac:dyDescent="0.2">
      <c r="A24" s="670">
        <v>43525</v>
      </c>
      <c r="B24" s="669">
        <v>7</v>
      </c>
      <c r="D24" s="673"/>
    </row>
    <row r="25" spans="1:7" x14ac:dyDescent="0.2">
      <c r="A25" s="670">
        <v>43556</v>
      </c>
      <c r="B25" s="669">
        <v>8</v>
      </c>
      <c r="D25" s="673"/>
    </row>
    <row r="26" spans="1:7" x14ac:dyDescent="0.2">
      <c r="A26" s="670">
        <v>43586</v>
      </c>
      <c r="B26" s="669">
        <v>9</v>
      </c>
      <c r="D26" s="673"/>
    </row>
    <row r="27" spans="1:7" x14ac:dyDescent="0.2">
      <c r="A27" s="670">
        <v>43617</v>
      </c>
      <c r="B27" s="669">
        <v>10</v>
      </c>
      <c r="D27" s="673"/>
    </row>
    <row r="28" spans="1:7" x14ac:dyDescent="0.2">
      <c r="A28" s="670">
        <v>43647</v>
      </c>
      <c r="B28" s="669">
        <v>11</v>
      </c>
      <c r="D28" s="673"/>
    </row>
    <row r="29" spans="1:7" x14ac:dyDescent="0.2">
      <c r="A29" s="670">
        <v>43678</v>
      </c>
      <c r="B29" s="669">
        <v>12</v>
      </c>
      <c r="D29" s="673"/>
    </row>
    <row r="30" spans="1:7" x14ac:dyDescent="0.2">
      <c r="A30" s="670">
        <v>43709</v>
      </c>
      <c r="B30" s="669">
        <v>13</v>
      </c>
      <c r="D30" s="673"/>
    </row>
    <row r="31" spans="1:7" x14ac:dyDescent="0.2">
      <c r="A31" s="670">
        <v>43739</v>
      </c>
      <c r="B31" s="669">
        <v>14</v>
      </c>
      <c r="D31" s="673"/>
    </row>
    <row r="32" spans="1:7" x14ac:dyDescent="0.2">
      <c r="A32" s="670">
        <v>43770</v>
      </c>
      <c r="B32" s="669">
        <v>15</v>
      </c>
      <c r="D32" s="673"/>
    </row>
    <row r="33" spans="1:4" x14ac:dyDescent="0.2">
      <c r="A33" s="670">
        <v>43800</v>
      </c>
      <c r="B33" s="669">
        <v>16</v>
      </c>
      <c r="D33" s="673"/>
    </row>
    <row r="34" spans="1:4" x14ac:dyDescent="0.2">
      <c r="A34" s="670">
        <v>43831</v>
      </c>
      <c r="B34" s="669">
        <v>17</v>
      </c>
      <c r="D34" s="673"/>
    </row>
    <row r="35" spans="1:4" x14ac:dyDescent="0.2">
      <c r="A35" s="670">
        <v>43862</v>
      </c>
      <c r="B35" s="669">
        <v>18</v>
      </c>
      <c r="D35" s="673"/>
    </row>
    <row r="36" spans="1:4" x14ac:dyDescent="0.2">
      <c r="A36" s="670">
        <v>43891</v>
      </c>
      <c r="B36" s="669">
        <v>19</v>
      </c>
      <c r="D36" s="673"/>
    </row>
    <row r="37" spans="1:4" x14ac:dyDescent="0.2">
      <c r="A37" s="670">
        <v>43922</v>
      </c>
      <c r="B37" s="669">
        <v>20</v>
      </c>
      <c r="D37" s="673"/>
    </row>
    <row r="38" spans="1:4" x14ac:dyDescent="0.2">
      <c r="A38" s="670">
        <v>43952</v>
      </c>
      <c r="B38" s="669">
        <v>21</v>
      </c>
      <c r="D38" s="673"/>
    </row>
    <row r="39" spans="1:4" x14ac:dyDescent="0.2">
      <c r="A39" s="670">
        <v>43983</v>
      </c>
      <c r="B39" s="669">
        <v>22</v>
      </c>
      <c r="D39" s="673"/>
    </row>
    <row r="40" spans="1:4" x14ac:dyDescent="0.2">
      <c r="A40" s="670">
        <v>44013</v>
      </c>
      <c r="B40" s="669">
        <v>23</v>
      </c>
      <c r="D40" s="673"/>
    </row>
    <row r="41" spans="1:4" x14ac:dyDescent="0.2">
      <c r="A41" s="670">
        <v>44044</v>
      </c>
      <c r="B41" s="669">
        <v>24</v>
      </c>
      <c r="D41" s="673"/>
    </row>
    <row r="42" spans="1:4" x14ac:dyDescent="0.2">
      <c r="A42" s="670">
        <v>44075</v>
      </c>
      <c r="B42" s="669">
        <v>25</v>
      </c>
      <c r="D42" s="673"/>
    </row>
    <row r="43" spans="1:4" x14ac:dyDescent="0.2">
      <c r="A43" s="670">
        <v>44105</v>
      </c>
      <c r="B43" s="669">
        <v>26</v>
      </c>
      <c r="D43" s="673"/>
    </row>
    <row r="44" spans="1:4" x14ac:dyDescent="0.2">
      <c r="A44" s="670">
        <v>44136</v>
      </c>
      <c r="B44" s="669">
        <v>27</v>
      </c>
      <c r="D44" s="673"/>
    </row>
    <row r="45" spans="1:4" x14ac:dyDescent="0.2">
      <c r="D45" s="673"/>
    </row>
    <row r="46" spans="1:4" x14ac:dyDescent="0.2">
      <c r="D46" s="673"/>
    </row>
    <row r="47" spans="1:4" x14ac:dyDescent="0.2">
      <c r="D47" s="673"/>
    </row>
    <row r="48" spans="1:4" x14ac:dyDescent="0.2">
      <c r="D48" s="673"/>
    </row>
    <row r="50" spans="4:4" x14ac:dyDescent="0.2">
      <c r="D50" s="668"/>
    </row>
  </sheetData>
  <sheetProtection algorithmName="SHA-512" hashValue="EVbwiQvV3+Z21kR7YMNahrdQOJ0x+e8Kz0zTg6Gq3GmYK9JYj2daGAoiesdMpqQfCEvjawFkCGbNDZSjih5YMA==" saltValue="i00xQEG3GSztv9nHsnA8kQ==" spinCount="100000" sheet="1" objects="1" scenarios="1"/>
  <mergeCells count="3">
    <mergeCell ref="E4:E6"/>
    <mergeCell ref="E9:E10"/>
    <mergeCell ref="B1:E1"/>
  </mergeCells>
  <phoneticPr fontId="54" type="noConversion"/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indexed="51"/>
    <pageSetUpPr fitToPage="1"/>
  </sheetPr>
  <dimension ref="A1:IW775"/>
  <sheetViews>
    <sheetView showGridLines="0" tabSelected="1" showOutlineSymbols="0" zoomScale="55" zoomScaleNormal="55" workbookViewId="0">
      <selection activeCell="A19" sqref="A19"/>
    </sheetView>
  </sheetViews>
  <sheetFormatPr defaultColWidth="10.7109375" defaultRowHeight="12.75" zeroHeight="1" x14ac:dyDescent="0.2"/>
  <cols>
    <col min="1" max="1" width="3.42578125" style="89" customWidth="1"/>
    <col min="2" max="2" width="8.140625" style="89" customWidth="1"/>
    <col min="3" max="3" width="35.5703125" style="89" customWidth="1"/>
    <col min="4" max="4" width="17.5703125" style="89" bestFit="1" customWidth="1"/>
    <col min="5" max="5" width="11.28515625" style="89" customWidth="1"/>
    <col min="6" max="6" width="22.5703125" style="89" bestFit="1" customWidth="1"/>
    <col min="7" max="7" width="31.5703125" style="89" customWidth="1"/>
    <col min="8" max="8" width="2" style="89" customWidth="1"/>
    <col min="9" max="9" width="22.5703125" style="89" customWidth="1"/>
    <col min="10" max="10" width="12.5703125" style="89" customWidth="1"/>
    <col min="11" max="11" width="14" style="89" customWidth="1"/>
    <col min="12" max="12" width="20.5703125" style="89" customWidth="1"/>
    <col min="13" max="13" width="17.42578125" style="89" customWidth="1"/>
    <col min="14" max="14" width="6.85546875" style="89" customWidth="1"/>
    <col min="15" max="15" width="9.28515625" style="89" customWidth="1"/>
    <col min="16" max="16" width="10.85546875" style="89" customWidth="1"/>
    <col min="17" max="17" width="16.5703125" style="89" customWidth="1"/>
    <col min="18" max="18" width="3.140625" style="89" customWidth="1"/>
    <col min="19" max="19" width="20.140625" style="89" customWidth="1"/>
    <col min="20" max="20" width="13.7109375" style="89" customWidth="1"/>
    <col min="21" max="21" width="16.42578125" style="89" customWidth="1"/>
    <col min="22" max="22" width="1.85546875" style="89" customWidth="1"/>
    <col min="23" max="23" width="2.42578125" style="89" customWidth="1"/>
    <col min="24" max="24" width="2" style="89" customWidth="1"/>
    <col min="25" max="25" width="3.7109375" style="89" customWidth="1"/>
    <col min="26" max="26" width="55.7109375" style="89" customWidth="1"/>
    <col min="27" max="27" width="18.42578125" style="89" customWidth="1"/>
    <col min="28" max="28" width="5.42578125" style="89" customWidth="1"/>
    <col min="29" max="29" width="42.5703125" style="89" customWidth="1"/>
    <col min="30" max="30" width="12.5703125" style="89" customWidth="1"/>
    <col min="31" max="37" width="9.140625" style="89" customWidth="1"/>
    <col min="38" max="38" width="11.140625" style="89" customWidth="1"/>
    <col min="39" max="220" width="9.140625" style="89" customWidth="1"/>
    <col min="221" max="221" width="47.42578125" style="89" customWidth="1"/>
    <col min="222" max="222" width="14.5703125" style="89" customWidth="1"/>
    <col min="223" max="223" width="18.28515625" style="89" customWidth="1"/>
    <col min="224" max="224" width="20.5703125" style="89" customWidth="1"/>
    <col min="225" max="227" width="9.140625" style="89" customWidth="1"/>
    <col min="228" max="228" width="14" style="89" customWidth="1"/>
    <col min="229" max="238" width="9.140625" style="89" customWidth="1"/>
    <col min="239" max="239" width="14.28515625" style="89" customWidth="1"/>
    <col min="240" max="249" width="9.140625" style="89" customWidth="1"/>
    <col min="250" max="250" width="10.7109375" style="90" customWidth="1"/>
    <col min="251" max="251" width="25.7109375" style="89" customWidth="1"/>
    <col min="252" max="252" width="20" style="89" customWidth="1"/>
    <col min="253" max="253" width="13.85546875" style="542" customWidth="1"/>
    <col min="254" max="254" width="13.140625" style="89" customWidth="1"/>
    <col min="255" max="256" width="10.140625" style="89" customWidth="1"/>
    <col min="257" max="16384" width="10.7109375" style="89"/>
  </cols>
  <sheetData>
    <row r="1" spans="1:253" ht="74.25" customHeight="1" x14ac:dyDescent="0.2">
      <c r="D1" s="531"/>
      <c r="G1" s="625" t="s">
        <v>287</v>
      </c>
      <c r="H1" s="724"/>
      <c r="I1" s="724"/>
      <c r="J1" s="724"/>
      <c r="K1" s="724"/>
      <c r="L1" s="724"/>
      <c r="M1" s="724"/>
      <c r="N1" s="724"/>
      <c r="O1" s="724"/>
      <c r="P1" s="724"/>
      <c r="S1" s="785" t="s">
        <v>293</v>
      </c>
      <c r="T1" s="785"/>
      <c r="U1" s="785"/>
      <c r="V1" s="785"/>
      <c r="W1" s="785"/>
      <c r="X1" s="785"/>
      <c r="Y1" s="785"/>
      <c r="Z1" s="785"/>
      <c r="AA1" s="785"/>
    </row>
    <row r="2" spans="1:253" ht="9.75" customHeight="1" x14ac:dyDescent="0.2">
      <c r="A2" s="991"/>
      <c r="B2" s="991"/>
      <c r="C2" s="281" t="str">
        <f ca="1">IF(I12&gt;AC6,"Simulador inválido e bloqueado, solicitar versão atualizada para a secretaria de vendas CURY!","")</f>
        <v/>
      </c>
      <c r="E2" s="514"/>
      <c r="G2" s="996"/>
      <c r="H2" s="996"/>
      <c r="I2" s="996"/>
      <c r="J2" s="996"/>
      <c r="K2" s="996"/>
      <c r="L2" s="996"/>
      <c r="M2" s="996"/>
      <c r="N2" s="996"/>
      <c r="O2" s="996"/>
      <c r="P2" s="996"/>
      <c r="S2" s="281"/>
      <c r="T2" s="281"/>
      <c r="U2" s="281"/>
      <c r="V2" s="603"/>
      <c r="W2" s="603"/>
      <c r="X2" s="603"/>
      <c r="Y2" s="603"/>
      <c r="Z2" s="603"/>
      <c r="AA2" s="603"/>
    </row>
    <row r="3" spans="1:253" ht="36" hidden="1" customHeight="1" x14ac:dyDescent="0.2">
      <c r="A3" s="991"/>
      <c r="B3" s="991"/>
      <c r="C3" s="91"/>
      <c r="D3" s="91"/>
      <c r="E3" s="91"/>
      <c r="F3" s="91"/>
      <c r="G3" s="91"/>
      <c r="H3" s="91"/>
      <c r="I3" s="91"/>
      <c r="J3" s="91"/>
      <c r="K3" s="548">
        <f>IF(G4="ÚNICO SUZANO - TORRE 5",1,IF(G4="ÚNICO SUZANO - FASE 2 - TORRES 4 e 6",1,0))</f>
        <v>0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53" ht="30" customHeight="1" x14ac:dyDescent="0.2">
      <c r="A4" s="991"/>
      <c r="B4" s="991"/>
      <c r="C4" s="91"/>
      <c r="D4" s="91"/>
      <c r="E4" s="91"/>
      <c r="F4" s="91"/>
      <c r="G4" s="999" t="s">
        <v>471</v>
      </c>
      <c r="H4" s="1000"/>
      <c r="I4" s="1000"/>
      <c r="J4" s="1000"/>
      <c r="K4" s="1000"/>
      <c r="L4" s="1000"/>
      <c r="M4" s="1000"/>
      <c r="N4" s="1000"/>
      <c r="O4" s="1000"/>
      <c r="P4" s="1001"/>
      <c r="Q4" s="624"/>
      <c r="R4" s="327"/>
      <c r="S4" s="997" t="str">
        <f>IF(AND('Premissas e Calculos'!J11*(1-'Premissas e Calculos'!G29)&lt;='Premissas e Calculos'!J3,'Premissas e Calculos'!J13&lt;='Premissas e Calculos'!J3),"PMCMV","Imóvel fora do PMCMV")</f>
        <v>PMCMV</v>
      </c>
      <c r="T4" s="997"/>
      <c r="U4" s="998"/>
      <c r="V4" s="91"/>
      <c r="HF4" s="10"/>
      <c r="HG4" s="10" t="s">
        <v>115</v>
      </c>
      <c r="HM4" s="984" t="str">
        <f>Apoio!B1</f>
        <v>Planilha de resposta do empreendimento escolhido</v>
      </c>
      <c r="HN4" s="985"/>
      <c r="HO4" s="985"/>
      <c r="HP4" s="986"/>
    </row>
    <row r="5" spans="1:253" ht="18.75" customHeight="1" x14ac:dyDescent="0.2">
      <c r="A5" s="991"/>
      <c r="B5" s="9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AC5" s="105" t="s">
        <v>236</v>
      </c>
      <c r="HF5" s="10">
        <v>1</v>
      </c>
      <c r="HG5" s="111" t="str">
        <f>'Premissas e Calculos'!M30</f>
        <v>SELLER</v>
      </c>
      <c r="HM5" s="704" t="str">
        <f>Apoio!B2</f>
        <v>Código Empreendimento</v>
      </c>
      <c r="HN5" s="92">
        <f>Apoio!C2</f>
        <v>0</v>
      </c>
      <c r="HO5" s="92">
        <f>Apoio!D2</f>
        <v>1</v>
      </c>
      <c r="HP5" s="93">
        <f>Apoio!E2</f>
        <v>0</v>
      </c>
    </row>
    <row r="6" spans="1:253" ht="57.75" customHeight="1" thickBot="1" x14ac:dyDescent="0.25">
      <c r="A6" s="991"/>
      <c r="B6" s="991"/>
      <c r="C6" s="91"/>
      <c r="D6" s="91"/>
      <c r="E6" s="91"/>
      <c r="F6" s="995" t="s">
        <v>312</v>
      </c>
      <c r="G6" s="995"/>
      <c r="H6" s="94"/>
      <c r="I6" s="626" t="s">
        <v>313</v>
      </c>
      <c r="J6" s="725"/>
      <c r="K6" s="725"/>
      <c r="L6" s="725"/>
      <c r="M6" s="789" t="s">
        <v>159</v>
      </c>
      <c r="N6" s="789"/>
      <c r="O6" s="789"/>
      <c r="P6" s="789"/>
      <c r="Q6" s="789"/>
      <c r="R6" s="703"/>
      <c r="S6" s="1002">
        <f>VLOOKUP(I6,Apoio!C:E,2,0)</f>
        <v>220240</v>
      </c>
      <c r="T6" s="1003"/>
      <c r="U6" s="1004"/>
      <c r="V6" s="91"/>
      <c r="AC6" s="282">
        <f ca="1">'Premissas e Calculos'!G38</f>
        <v>43830</v>
      </c>
      <c r="HF6" s="10">
        <v>2</v>
      </c>
      <c r="HG6" s="111" t="str">
        <f>'Premissas e Calculos'!M31</f>
        <v>I.NOVA</v>
      </c>
      <c r="HM6" s="95" t="str">
        <f>Apoio!B3</f>
        <v>Empreendimento:</v>
      </c>
      <c r="HN6" s="92">
        <f>Apoio!C3</f>
        <v>0</v>
      </c>
      <c r="HO6" s="1008" t="str">
        <f>Apoio!D3</f>
        <v>Exato Rio Grande</v>
      </c>
      <c r="HP6" s="1009"/>
    </row>
    <row r="7" spans="1:253" ht="9.9499999999999993" customHeight="1" x14ac:dyDescent="0.2">
      <c r="A7" s="991"/>
      <c r="B7" s="991"/>
      <c r="C7" s="612"/>
      <c r="D7" s="91"/>
      <c r="E7" s="91"/>
      <c r="F7" s="96"/>
      <c r="G7" s="97"/>
      <c r="H7" s="97"/>
      <c r="I7" s="98"/>
      <c r="J7" s="98"/>
      <c r="K7" s="98"/>
      <c r="L7" s="98"/>
      <c r="M7" s="99"/>
      <c r="N7" s="99"/>
      <c r="O7" s="97"/>
      <c r="P7" s="97"/>
      <c r="Q7" s="96"/>
      <c r="R7" s="100"/>
      <c r="S7" s="91"/>
      <c r="T7" s="91"/>
      <c r="U7" s="91"/>
      <c r="V7" s="91"/>
      <c r="HF7" s="10">
        <v>3</v>
      </c>
      <c r="HG7" s="111" t="e">
        <f>'Premissas e Calculos'!#REF!</f>
        <v>#REF!</v>
      </c>
      <c r="HM7" s="704" t="str">
        <f>Apoio!B4</f>
        <v>Valor Máximo Do Imóvel dentro do Pacote</v>
      </c>
      <c r="HN7" s="92">
        <f>Apoio!C4</f>
        <v>0</v>
      </c>
      <c r="HO7" s="89">
        <f>Apoio!D4</f>
        <v>0</v>
      </c>
      <c r="HP7" s="101">
        <f>Apoio!E4</f>
        <v>240000</v>
      </c>
    </row>
    <row r="8" spans="1:253" ht="24.75" customHeight="1" x14ac:dyDescent="0.2">
      <c r="A8" s="991"/>
      <c r="B8" s="991"/>
      <c r="C8" s="613" t="s">
        <v>438</v>
      </c>
      <c r="D8" s="91"/>
      <c r="E8" s="91"/>
      <c r="F8" s="995" t="s">
        <v>99</v>
      </c>
      <c r="G8" s="995"/>
      <c r="H8" s="94"/>
      <c r="I8" s="1005"/>
      <c r="J8" s="1006"/>
      <c r="K8" s="1006"/>
      <c r="L8" s="1007"/>
      <c r="M8" s="99"/>
      <c r="N8" s="789" t="s">
        <v>158</v>
      </c>
      <c r="O8" s="789"/>
      <c r="P8" s="789"/>
      <c r="Q8" s="789"/>
      <c r="R8" s="703"/>
      <c r="S8" s="1005" t="s">
        <v>307</v>
      </c>
      <c r="T8" s="1006"/>
      <c r="U8" s="1007"/>
      <c r="V8" s="91"/>
      <c r="HF8" s="10">
        <v>4</v>
      </c>
      <c r="HG8" s="111" t="e">
        <f>'Premissas e Calculos'!#REF!</f>
        <v>#REF!</v>
      </c>
      <c r="HM8" s="984" t="str">
        <f>Apoio!B5</f>
        <v>Tabela de Unidades disponíveis</v>
      </c>
      <c r="HN8" s="985"/>
      <c r="HO8" s="985"/>
      <c r="HP8" s="986"/>
      <c r="IQ8" s="102" t="s">
        <v>114</v>
      </c>
      <c r="IR8" s="102" t="s">
        <v>115</v>
      </c>
      <c r="IS8" s="542" t="s">
        <v>4</v>
      </c>
    </row>
    <row r="9" spans="1:253" ht="9.9499999999999993" customHeight="1" x14ac:dyDescent="0.2">
      <c r="A9" s="991"/>
      <c r="B9" s="991"/>
      <c r="C9" s="614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HF9" s="10">
        <v>5</v>
      </c>
      <c r="HG9" s="111" t="e">
        <f>'Premissas e Calculos'!#REF!</f>
        <v>#REF!</v>
      </c>
      <c r="HM9" s="1038">
        <f>Apoio!B6</f>
        <v>0</v>
      </c>
      <c r="HN9" s="103" t="str">
        <f>Apoio!C6</f>
        <v>Código Tipo</v>
      </c>
      <c r="HO9" s="104" t="str">
        <f>Apoio!D6</f>
        <v>Código Venda</v>
      </c>
      <c r="HP9" s="104" t="str">
        <f>Apoio!E6</f>
        <v>Código Avaliação</v>
      </c>
      <c r="IQ9" s="102"/>
      <c r="IR9" s="102"/>
    </row>
    <row r="10" spans="1:253" ht="26.25" customHeight="1" x14ac:dyDescent="0.2">
      <c r="A10" s="991"/>
      <c r="B10" s="991"/>
      <c r="C10" s="627" t="s">
        <v>436</v>
      </c>
      <c r="D10" s="91"/>
      <c r="E10" s="91"/>
      <c r="F10" s="995" t="s">
        <v>278</v>
      </c>
      <c r="G10" s="995"/>
      <c r="H10" s="94"/>
      <c r="I10" s="1005"/>
      <c r="J10" s="1006"/>
      <c r="K10" s="1006"/>
      <c r="L10" s="1007"/>
      <c r="M10" s="91"/>
      <c r="N10" s="91"/>
      <c r="O10" s="789" t="s">
        <v>56</v>
      </c>
      <c r="P10" s="995"/>
      <c r="Q10" s="789"/>
      <c r="R10" s="91"/>
      <c r="S10" s="987">
        <f>VLOOKUP(G4,'DADOS DOS EMPREENDIMENTOS'!B10:K23,10,FALSE)</f>
        <v>44165</v>
      </c>
      <c r="T10" s="988"/>
      <c r="U10" s="989"/>
      <c r="V10" s="91"/>
      <c r="HF10" s="10">
        <v>6</v>
      </c>
      <c r="HG10" s="111" t="e">
        <f>'Premissas e Calculos'!#REF!</f>
        <v>#REF!</v>
      </c>
      <c r="HM10" s="1039"/>
      <c r="HN10" s="103"/>
      <c r="HO10" s="104"/>
      <c r="HP10" s="104"/>
      <c r="IQ10" s="102"/>
      <c r="IR10" s="102"/>
    </row>
    <row r="11" spans="1:253" ht="9.9499999999999993" customHeight="1" thickBot="1" x14ac:dyDescent="0.25">
      <c r="A11" s="991"/>
      <c r="B11" s="991"/>
      <c r="C11" s="614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AC11" s="89" t="s">
        <v>290</v>
      </c>
      <c r="AD11" s="89">
        <v>7</v>
      </c>
      <c r="AE11" s="89">
        <v>7</v>
      </c>
      <c r="HF11" s="10">
        <v>7</v>
      </c>
      <c r="HG11" s="111" t="e">
        <f>'Premissas e Calculos'!#REF!</f>
        <v>#REF!</v>
      </c>
      <c r="HM11" s="1039"/>
      <c r="HN11" s="92">
        <f>Apoio!C7</f>
        <v>2</v>
      </c>
      <c r="HO11" s="92">
        <f>Apoio!D7</f>
        <v>3</v>
      </c>
      <c r="HP11" s="92">
        <f>Apoio!E7</f>
        <v>4</v>
      </c>
      <c r="IQ11" s="102"/>
      <c r="IR11" s="102"/>
    </row>
    <row r="12" spans="1:253" ht="25.5" customHeight="1" thickBot="1" x14ac:dyDescent="0.25">
      <c r="A12" s="991"/>
      <c r="B12" s="991"/>
      <c r="C12" s="628" t="s">
        <v>437</v>
      </c>
      <c r="D12" s="70"/>
      <c r="E12" s="70"/>
      <c r="F12" s="995" t="s">
        <v>165</v>
      </c>
      <c r="G12" s="995" t="s">
        <v>165</v>
      </c>
      <c r="H12" s="91"/>
      <c r="I12" s="992">
        <f ca="1">TODAY()</f>
        <v>43802</v>
      </c>
      <c r="J12" s="993"/>
      <c r="K12" s="993"/>
      <c r="L12" s="994"/>
      <c r="M12" s="70"/>
      <c r="N12" s="70"/>
      <c r="O12" s="70"/>
      <c r="P12" s="70"/>
      <c r="Q12" s="70"/>
      <c r="R12" s="70"/>
      <c r="S12" s="70"/>
      <c r="T12" s="70"/>
      <c r="U12" s="70"/>
      <c r="AC12" s="89" t="s">
        <v>291</v>
      </c>
      <c r="AD12" s="89">
        <v>8</v>
      </c>
      <c r="AE12" s="89">
        <v>8</v>
      </c>
      <c r="HA12" s="105" t="s">
        <v>200</v>
      </c>
      <c r="HF12" s="10">
        <v>8</v>
      </c>
      <c r="HG12" s="111" t="e">
        <f>'Premissas e Calculos'!#REF!</f>
        <v>#REF!</v>
      </c>
      <c r="HM12" s="1040"/>
      <c r="HN12" s="92" t="str">
        <f>Apoio!C8</f>
        <v>Tipo</v>
      </c>
      <c r="HO12" s="92" t="str">
        <f>Apoio!D8</f>
        <v>Preço de Venda</v>
      </c>
      <c r="HP12" s="92" t="str">
        <f>Apoio!E8</f>
        <v>Avaliação CAIXA</v>
      </c>
      <c r="HS12" s="1041" t="str">
        <f>'DADOS DOS EMPREENDIMENTOS'!A8</f>
        <v>Código dos dos empreendimentos</v>
      </c>
      <c r="HT12" s="1042"/>
      <c r="HU12" s="1043"/>
      <c r="ID12" s="1037"/>
      <c r="IE12" s="1037"/>
      <c r="IF12" s="106"/>
      <c r="IQ12" s="107" t="s">
        <v>116</v>
      </c>
      <c r="IR12" s="107" t="s">
        <v>117</v>
      </c>
      <c r="IS12" s="543">
        <v>2.9000000000000001E-2</v>
      </c>
    </row>
    <row r="13" spans="1:253" s="356" customFormat="1" ht="9.9499999999999993" customHeight="1" x14ac:dyDescent="0.2">
      <c r="A13" s="398"/>
      <c r="B13" s="398"/>
      <c r="D13" s="399"/>
      <c r="E13" s="399"/>
      <c r="F13" s="400"/>
      <c r="G13" s="400"/>
      <c r="I13" s="401"/>
      <c r="J13" s="401"/>
      <c r="K13" s="401"/>
      <c r="L13" s="401"/>
      <c r="M13" s="399"/>
      <c r="N13" s="399"/>
      <c r="O13" s="399"/>
      <c r="P13" s="399"/>
      <c r="Q13" s="399"/>
      <c r="R13" s="399"/>
      <c r="S13" s="399"/>
      <c r="T13" s="399"/>
      <c r="U13" s="399"/>
      <c r="HA13" s="402"/>
      <c r="HF13" s="403"/>
      <c r="HG13" s="404"/>
      <c r="HM13" s="405"/>
      <c r="HN13" s="406"/>
      <c r="HO13" s="406"/>
      <c r="HP13" s="406"/>
      <c r="HS13" s="1044"/>
      <c r="HT13" s="1045"/>
      <c r="HU13" s="1046"/>
      <c r="ID13" s="407"/>
      <c r="IE13" s="407"/>
      <c r="IF13" s="148"/>
      <c r="IP13" s="408"/>
      <c r="IQ13" s="409"/>
      <c r="IR13" s="409"/>
      <c r="IS13" s="544"/>
    </row>
    <row r="14" spans="1:253" ht="37.5" customHeight="1" x14ac:dyDescent="0.2">
      <c r="B14" s="841" t="s">
        <v>160</v>
      </c>
      <c r="C14" s="841"/>
      <c r="D14" s="841"/>
      <c r="E14" s="841"/>
      <c r="F14" s="841"/>
      <c r="G14" s="841"/>
      <c r="H14" s="841"/>
      <c r="I14" s="841"/>
      <c r="J14" s="841"/>
      <c r="K14" s="841"/>
      <c r="L14" s="841"/>
      <c r="M14" s="841"/>
      <c r="N14" s="841"/>
      <c r="O14" s="841"/>
      <c r="P14" s="841"/>
      <c r="Q14" s="841"/>
      <c r="R14" s="841"/>
      <c r="S14" s="841"/>
      <c r="T14" s="841"/>
      <c r="U14" s="841"/>
      <c r="V14" s="841"/>
      <c r="W14" s="841"/>
      <c r="AB14" s="106"/>
      <c r="HA14" s="105">
        <f>'Premissas e Calculos'!J25</f>
        <v>211430.39999999999</v>
      </c>
      <c r="HF14" s="10">
        <v>9</v>
      </c>
      <c r="HG14" s="111" t="e">
        <f>'Premissas e Calculos'!#REF!</f>
        <v>#REF!</v>
      </c>
      <c r="HM14" s="698"/>
      <c r="HN14" s="92"/>
      <c r="HO14" s="92"/>
      <c r="HP14" s="92"/>
      <c r="HS14" s="1044"/>
      <c r="HT14" s="1045"/>
      <c r="HU14" s="1046"/>
      <c r="ID14" s="697"/>
      <c r="IE14" s="697"/>
      <c r="IF14" s="106"/>
      <c r="IQ14" s="107"/>
      <c r="IR14" s="107"/>
      <c r="IS14" s="543"/>
    </row>
    <row r="15" spans="1:253" ht="9.9499999999999993" customHeight="1" x14ac:dyDescent="0.2"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AB15" s="106"/>
      <c r="HF15" s="10">
        <v>10</v>
      </c>
      <c r="HG15" s="111" t="e">
        <f>'Premissas e Calculos'!#REF!</f>
        <v>#REF!</v>
      </c>
      <c r="HM15" s="698"/>
      <c r="HN15" s="92"/>
      <c r="HO15" s="92"/>
      <c r="HP15" s="92"/>
      <c r="HS15" s="1044"/>
      <c r="HT15" s="1045"/>
      <c r="HU15" s="1046"/>
      <c r="ID15" s="697"/>
      <c r="IE15" s="697"/>
      <c r="IF15" s="106"/>
      <c r="IQ15" s="107"/>
      <c r="IR15" s="107"/>
      <c r="IS15" s="543"/>
    </row>
    <row r="16" spans="1:253" ht="27.75" customHeight="1" thickBot="1" x14ac:dyDescent="0.25">
      <c r="B16" s="1013" t="s">
        <v>226</v>
      </c>
      <c r="C16" s="1013"/>
      <c r="D16" s="1013"/>
      <c r="E16" s="1010"/>
      <c r="F16" s="1011"/>
      <c r="G16" s="1011"/>
      <c r="H16" s="1011"/>
      <c r="I16" s="1011"/>
      <c r="J16" s="1011"/>
      <c r="K16" s="1011"/>
      <c r="L16" s="1012"/>
      <c r="M16" s="990" t="s">
        <v>163</v>
      </c>
      <c r="N16" s="990"/>
      <c r="O16" s="990"/>
      <c r="P16" s="990"/>
      <c r="Q16" s="990"/>
      <c r="R16" s="114"/>
      <c r="S16" s="285">
        <v>20</v>
      </c>
      <c r="T16" s="286">
        <v>9</v>
      </c>
      <c r="U16" s="287">
        <v>1994</v>
      </c>
      <c r="AB16" s="106"/>
      <c r="HF16" s="10">
        <v>11</v>
      </c>
      <c r="HG16" s="111" t="e">
        <f>'Premissas e Calculos'!#REF!</f>
        <v>#REF!</v>
      </c>
      <c r="HM16" s="109">
        <f>Apoio!B9</f>
        <v>1</v>
      </c>
      <c r="HN16" s="111" t="str">
        <f>Apoio!C9</f>
        <v>1/101</v>
      </c>
      <c r="HO16" s="111">
        <f>Apoio!D9</f>
        <v>220240</v>
      </c>
      <c r="HP16" s="111">
        <f>Apoio!E9</f>
        <v>216000</v>
      </c>
      <c r="HS16" s="1047"/>
      <c r="HT16" s="1048"/>
      <c r="HU16" s="1049"/>
      <c r="ID16" s="106"/>
      <c r="IE16" s="112"/>
      <c r="IF16" s="106"/>
      <c r="IQ16" s="107"/>
      <c r="IR16" s="107"/>
      <c r="IS16" s="543"/>
    </row>
    <row r="17" spans="1:254" ht="9.9499999999999993" customHeight="1" x14ac:dyDescent="0.2">
      <c r="B17" s="108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292"/>
      <c r="N17" s="707"/>
      <c r="O17" s="707"/>
      <c r="P17" s="707"/>
      <c r="Q17" s="707"/>
      <c r="R17" s="108"/>
      <c r="S17" s="108"/>
      <c r="T17" s="108"/>
      <c r="U17" s="108"/>
      <c r="V17" s="108"/>
      <c r="W17" s="108"/>
      <c r="X17" s="108"/>
      <c r="AB17" s="106"/>
      <c r="HF17" s="10"/>
      <c r="HG17" s="111" t="e">
        <f>'Premissas e Calculos'!#REF!</f>
        <v>#REF!</v>
      </c>
      <c r="HM17" s="109" t="e">
        <f>Apoio!#REF!</f>
        <v>#REF!</v>
      </c>
      <c r="HN17" s="111" t="e">
        <f>Apoio!#REF!</f>
        <v>#REF!</v>
      </c>
      <c r="HO17" s="111" t="e">
        <f>Apoio!#REF!</f>
        <v>#REF!</v>
      </c>
      <c r="HP17" s="111" t="e">
        <f>Apoio!#REF!</f>
        <v>#REF!</v>
      </c>
      <c r="HS17" s="700"/>
      <c r="HT17" s="701"/>
      <c r="HU17" s="702"/>
      <c r="ID17" s="106"/>
      <c r="IE17" s="112"/>
      <c r="IF17" s="106"/>
      <c r="IQ17" s="107"/>
      <c r="IR17" s="107"/>
      <c r="IS17" s="543"/>
    </row>
    <row r="18" spans="1:254" ht="9.9499999999999993" customHeight="1" x14ac:dyDescent="0.2"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292"/>
      <c r="AB18" s="106"/>
      <c r="HF18" s="10">
        <v>12</v>
      </c>
      <c r="HG18" s="111" t="e">
        <f>'Premissas e Calculos'!#REF!</f>
        <v>#REF!</v>
      </c>
      <c r="HM18" s="109" t="e">
        <f>Apoio!#REF!</f>
        <v>#REF!</v>
      </c>
      <c r="HN18" s="111" t="e">
        <f>Apoio!#REF!</f>
        <v>#REF!</v>
      </c>
      <c r="HO18" s="111" t="e">
        <f>Apoio!#REF!</f>
        <v>#REF!</v>
      </c>
      <c r="HP18" s="111" t="e">
        <f>Apoio!#REF!</f>
        <v>#REF!</v>
      </c>
      <c r="HS18" s="115">
        <f>'DADOS DOS EMPREENDIMENTOS'!A10</f>
        <v>1</v>
      </c>
      <c r="HT18" s="111" t="str">
        <f>'DADOS DOS EMPREENDIMENTOS'!B10</f>
        <v>Exato Rio Grande</v>
      </c>
      <c r="HU18" s="116">
        <f>'DADOS DOS EMPREENDIMENTOS'!C10</f>
        <v>1</v>
      </c>
      <c r="ID18" s="106"/>
      <c r="IE18" s="112"/>
      <c r="IF18" s="106"/>
      <c r="IQ18" s="107" t="s">
        <v>118</v>
      </c>
      <c r="IR18" s="107" t="s">
        <v>119</v>
      </c>
      <c r="IS18" s="543">
        <v>3.2500000000000001E-2</v>
      </c>
    </row>
    <row r="19" spans="1:254" ht="9.9499999999999993" customHeight="1" x14ac:dyDescent="0.2">
      <c r="C19" s="113"/>
      <c r="D19" s="113"/>
      <c r="E19" s="113"/>
      <c r="F19" s="113"/>
      <c r="G19" s="113"/>
      <c r="H19" s="113"/>
      <c r="I19" s="113"/>
      <c r="J19" s="1019" t="b">
        <f>IF(AA20=0,IF(F20&gt;9000,"Cliente fora do PMCMV/CCFGTS, mudar p/ SAC",""))</f>
        <v>0</v>
      </c>
      <c r="K19" s="1019"/>
      <c r="L19" s="1019"/>
      <c r="M19" s="1020"/>
      <c r="N19" s="293"/>
      <c r="O19" s="293"/>
      <c r="P19" s="293"/>
      <c r="Q19" s="293"/>
      <c r="T19" s="118"/>
      <c r="AB19" s="106"/>
      <c r="HA19" s="89" t="s">
        <v>208</v>
      </c>
      <c r="HF19" s="10">
        <v>13</v>
      </c>
      <c r="HG19" s="111" t="e">
        <f>'Premissas e Calculos'!#REF!</f>
        <v>#REF!</v>
      </c>
      <c r="HM19" s="109" t="e">
        <f>Apoio!#REF!</f>
        <v>#REF!</v>
      </c>
      <c r="HN19" s="111" t="e">
        <f>Apoio!#REF!</f>
        <v>#REF!</v>
      </c>
      <c r="HO19" s="111" t="e">
        <f>Apoio!#REF!</f>
        <v>#REF!</v>
      </c>
      <c r="HP19" s="111" t="e">
        <f>Apoio!#REF!</f>
        <v>#REF!</v>
      </c>
      <c r="HS19" s="115">
        <f>'DADOS DOS EMPREENDIMENTOS'!A11</f>
        <v>2</v>
      </c>
      <c r="HT19" s="111" t="str">
        <f>'DADOS DOS EMPREENDIMENTOS'!B11</f>
        <v>DEZ VISTA ALEGRE - BLOCOS 1 e 2</v>
      </c>
      <c r="HU19" s="116">
        <f>'DADOS DOS EMPREENDIMENTOS'!C11</f>
        <v>2</v>
      </c>
      <c r="ID19" s="106"/>
      <c r="IE19" s="112"/>
      <c r="IF19" s="106"/>
      <c r="IQ19" s="107" t="s">
        <v>120</v>
      </c>
      <c r="IR19" s="107"/>
    </row>
    <row r="20" spans="1:254" ht="27.75" customHeight="1" x14ac:dyDescent="0.2">
      <c r="B20" s="1013" t="s">
        <v>225</v>
      </c>
      <c r="C20" s="1013"/>
      <c r="D20" s="1013"/>
      <c r="E20" s="1013"/>
      <c r="F20" s="1014">
        <v>4920</v>
      </c>
      <c r="G20" s="1015"/>
      <c r="H20" s="1015"/>
      <c r="I20" s="1016"/>
      <c r="J20" s="1019"/>
      <c r="K20" s="1019"/>
      <c r="L20" s="1019"/>
      <c r="M20" s="1020"/>
      <c r="N20" s="990" t="s">
        <v>207</v>
      </c>
      <c r="O20" s="990"/>
      <c r="P20" s="990"/>
      <c r="Q20" s="990"/>
      <c r="S20" s="1050">
        <v>64678</v>
      </c>
      <c r="T20" s="1051"/>
      <c r="U20" s="1052"/>
      <c r="AA20" s="532">
        <f>IF(G1="TABELA PRICE",0,1)</f>
        <v>1</v>
      </c>
      <c r="AB20" s="532">
        <f>IF(H2="TABELA PRICE",0,1)</f>
        <v>1</v>
      </c>
      <c r="AC20" s="89" t="s">
        <v>287</v>
      </c>
      <c r="HF20" s="10"/>
      <c r="HG20" s="111" t="e">
        <f>'Premissas e Calculos'!#REF!</f>
        <v>#REF!</v>
      </c>
      <c r="HM20" s="109" t="e">
        <f>Apoio!#REF!</f>
        <v>#REF!</v>
      </c>
      <c r="HN20" s="111" t="e">
        <f>Apoio!#REF!</f>
        <v>#REF!</v>
      </c>
      <c r="HO20" s="111" t="e">
        <f>Apoio!#REF!</f>
        <v>#REF!</v>
      </c>
      <c r="HP20" s="111" t="e">
        <f>Apoio!#REF!</f>
        <v>#REF!</v>
      </c>
      <c r="HS20" s="115">
        <f>'DADOS DOS EMPREENDIMENTOS'!A12</f>
        <v>3</v>
      </c>
      <c r="HT20" s="111">
        <f>'DADOS DOS EMPREENDIMENTOS'!B12</f>
        <v>0</v>
      </c>
      <c r="HU20" s="116">
        <f>'DADOS DOS EMPREENDIMENTOS'!C12</f>
        <v>3</v>
      </c>
      <c r="ID20" s="106"/>
      <c r="IE20" s="112"/>
      <c r="IF20" s="106"/>
      <c r="IQ20" s="107"/>
      <c r="IR20" s="107"/>
    </row>
    <row r="21" spans="1:254" ht="27.75" customHeight="1" x14ac:dyDescent="0.2">
      <c r="B21" s="707"/>
      <c r="C21" s="707"/>
      <c r="D21" s="707"/>
      <c r="E21" s="707"/>
      <c r="F21" s="726"/>
      <c r="G21" s="726"/>
      <c r="H21" s="726"/>
      <c r="I21" s="726"/>
      <c r="J21" s="1019"/>
      <c r="K21" s="1019"/>
      <c r="L21" s="1019"/>
      <c r="M21" s="1020"/>
      <c r="N21" s="699"/>
      <c r="O21" s="699"/>
      <c r="P21" s="699"/>
      <c r="Q21" s="699"/>
      <c r="S21" s="727"/>
      <c r="T21" s="727"/>
      <c r="U21" s="727"/>
      <c r="AA21" s="532"/>
      <c r="AB21" s="532"/>
      <c r="AC21" s="89" t="s">
        <v>286</v>
      </c>
      <c r="HF21" s="10"/>
      <c r="HG21" s="111"/>
      <c r="HM21" s="109" t="e">
        <f>Apoio!#REF!</f>
        <v>#REF!</v>
      </c>
      <c r="HN21" s="111" t="e">
        <f>Apoio!#REF!</f>
        <v>#REF!</v>
      </c>
      <c r="HO21" s="111" t="e">
        <f>Apoio!#REF!</f>
        <v>#REF!</v>
      </c>
      <c r="HP21" s="111" t="e">
        <f>Apoio!#REF!</f>
        <v>#REF!</v>
      </c>
      <c r="HS21" s="115"/>
      <c r="HT21" s="111"/>
      <c r="HU21" s="116"/>
      <c r="ID21" s="106"/>
      <c r="IE21" s="112"/>
      <c r="IF21" s="106"/>
      <c r="IQ21" s="107"/>
      <c r="IR21" s="107"/>
    </row>
    <row r="22" spans="1:254" ht="32.25" customHeight="1" x14ac:dyDescent="0.2">
      <c r="A22" s="292"/>
      <c r="B22" s="292" t="s">
        <v>444</v>
      </c>
      <c r="C22" s="604"/>
      <c r="E22" s="654">
        <v>1</v>
      </c>
      <c r="F22" s="597">
        <f>F20*150%</f>
        <v>7380</v>
      </c>
      <c r="G22" s="599">
        <v>1</v>
      </c>
      <c r="H22" s="117">
        <v>2</v>
      </c>
      <c r="I22" s="117"/>
      <c r="J22" s="1019"/>
      <c r="K22" s="1019"/>
      <c r="L22" s="1019"/>
      <c r="M22" s="1020"/>
      <c r="N22" s="117"/>
      <c r="O22" s="117"/>
      <c r="P22" s="117"/>
      <c r="Q22" s="117"/>
      <c r="T22" s="118" t="s">
        <v>127</v>
      </c>
      <c r="HA22" s="89" t="s">
        <v>209</v>
      </c>
      <c r="HF22" s="10">
        <v>14</v>
      </c>
      <c r="HG22" s="111" t="e">
        <f>'Premissas e Calculos'!#REF!</f>
        <v>#REF!</v>
      </c>
      <c r="HS22" s="115">
        <f>'DADOS DOS EMPREENDIMENTOS'!A13</f>
        <v>4</v>
      </c>
      <c r="HT22" s="111">
        <f>'DADOS DOS EMPREENDIMENTOS'!B13</f>
        <v>0</v>
      </c>
      <c r="HU22" s="116">
        <f>'DADOS DOS EMPREENDIMENTOS'!C13</f>
        <v>4</v>
      </c>
      <c r="ID22" s="106"/>
      <c r="IE22" s="112"/>
      <c r="IF22" s="106"/>
    </row>
    <row r="23" spans="1:254" ht="32.25" customHeight="1" x14ac:dyDescent="0.2">
      <c r="A23" s="292"/>
      <c r="B23" s="292" t="s">
        <v>449</v>
      </c>
      <c r="C23" s="604"/>
      <c r="E23" s="654" t="s">
        <v>209</v>
      </c>
      <c r="F23" s="597"/>
      <c r="G23" s="599"/>
      <c r="H23" s="117"/>
      <c r="I23" s="117"/>
      <c r="J23" s="1019"/>
      <c r="K23" s="1019"/>
      <c r="L23" s="1019"/>
      <c r="M23" s="1020"/>
      <c r="N23" s="117"/>
      <c r="O23" s="117"/>
      <c r="P23" s="117"/>
      <c r="Q23" s="117"/>
      <c r="T23" s="118"/>
      <c r="HF23" s="10"/>
      <c r="HG23" s="111"/>
      <c r="HS23" s="115"/>
      <c r="HT23" s="111"/>
      <c r="HU23" s="116"/>
      <c r="ID23" s="106"/>
      <c r="IE23" s="112"/>
      <c r="IF23" s="106"/>
    </row>
    <row r="24" spans="1:254" ht="27.75" customHeight="1" x14ac:dyDescent="0.2">
      <c r="A24" s="292"/>
      <c r="B24" s="292" t="s">
        <v>448</v>
      </c>
      <c r="C24" s="604"/>
      <c r="E24" s="654">
        <v>24</v>
      </c>
      <c r="F24" s="597"/>
      <c r="G24" s="599"/>
      <c r="H24" s="117"/>
      <c r="I24" s="117"/>
      <c r="J24" s="1019"/>
      <c r="K24" s="1019"/>
      <c r="L24" s="1019"/>
      <c r="M24" s="1020"/>
      <c r="N24" s="117"/>
      <c r="O24" s="117"/>
      <c r="P24" s="117"/>
      <c r="Q24" s="117"/>
      <c r="T24" s="118"/>
      <c r="HF24" s="10"/>
      <c r="HG24" s="111"/>
      <c r="HS24" s="115"/>
      <c r="HT24" s="111"/>
      <c r="HU24" s="116"/>
      <c r="ID24" s="106"/>
      <c r="IE24" s="112"/>
      <c r="IF24" s="106"/>
    </row>
    <row r="25" spans="1:254" ht="32.25" customHeight="1" x14ac:dyDescent="0.2">
      <c r="A25" s="292"/>
      <c r="B25" s="292"/>
      <c r="C25" s="604"/>
      <c r="D25" s="599"/>
      <c r="F25" s="597"/>
      <c r="G25" s="599"/>
      <c r="H25" s="117"/>
      <c r="I25" s="117"/>
      <c r="J25" s="1019"/>
      <c r="K25" s="1019"/>
      <c r="L25" s="1019"/>
      <c r="M25" s="1020"/>
      <c r="N25" s="117"/>
      <c r="O25" s="117"/>
      <c r="P25" s="117"/>
      <c r="Q25" s="117"/>
      <c r="T25" s="118"/>
      <c r="HF25" s="10"/>
      <c r="HG25" s="111"/>
      <c r="HS25" s="115"/>
      <c r="HT25" s="111"/>
      <c r="HU25" s="116"/>
      <c r="ID25" s="106"/>
      <c r="IE25" s="112"/>
      <c r="IF25" s="106"/>
    </row>
    <row r="26" spans="1:254" ht="27.75" customHeight="1" x14ac:dyDescent="0.2">
      <c r="D26" s="591">
        <f>E22</f>
        <v>1</v>
      </c>
      <c r="F26" s="610">
        <f>IF(E37="não",10.48%,IF(E24&gt;=36,'Premissas e Calculos'!J9-0.5%,'Premissas e Calculos'!J9))</f>
        <v>8.1600000000000006E-2</v>
      </c>
      <c r="G26" s="611" t="s">
        <v>161</v>
      </c>
      <c r="I26" s="599" t="str">
        <f>IF(E24&gt;=36,"(Redução de 0,5% na taxa de juros)","")</f>
        <v/>
      </c>
      <c r="J26" s="1019"/>
      <c r="K26" s="1019"/>
      <c r="L26" s="1019"/>
      <c r="M26" s="1020"/>
      <c r="N26" s="326"/>
      <c r="O26" s="326"/>
      <c r="P26" s="990" t="s">
        <v>272</v>
      </c>
      <c r="Q26" s="990"/>
      <c r="S26" s="1053">
        <f>'Premissas e Calculos'!J17</f>
        <v>0</v>
      </c>
      <c r="T26" s="1054"/>
      <c r="U26" s="1055"/>
      <c r="AA26" s="119"/>
      <c r="AC26" s="390" t="s">
        <v>472</v>
      </c>
      <c r="AD26" s="719">
        <f>0.03*S6</f>
        <v>6607.2</v>
      </c>
      <c r="HF26" s="10">
        <v>15</v>
      </c>
      <c r="HG26" s="111" t="e">
        <f>'Premissas e Calculos'!#REF!</f>
        <v>#REF!</v>
      </c>
      <c r="HM26" s="109" t="e">
        <f>Apoio!#REF!</f>
        <v>#REF!</v>
      </c>
      <c r="HN26" s="111" t="e">
        <f>Apoio!#REF!</f>
        <v>#REF!</v>
      </c>
      <c r="HO26" s="111" t="e">
        <f>Apoio!#REF!</f>
        <v>#REF!</v>
      </c>
      <c r="HP26" s="111" t="e">
        <f>Apoio!#REF!</f>
        <v>#REF!</v>
      </c>
      <c r="HS26" s="115">
        <f>'DADOS DOS EMPREENDIMENTOS'!A14</f>
        <v>5</v>
      </c>
      <c r="HT26" s="111">
        <f>'DADOS DOS EMPREENDIMENTOS'!B14</f>
        <v>0</v>
      </c>
      <c r="HU26" s="116">
        <f>'DADOS DOS EMPREENDIMENTOS'!C14</f>
        <v>5</v>
      </c>
      <c r="ID26" s="106"/>
      <c r="IE26" s="112"/>
      <c r="IF26" s="106"/>
    </row>
    <row r="27" spans="1:254" ht="25.5" customHeight="1" x14ac:dyDescent="0.2">
      <c r="B27" s="1013" t="s">
        <v>296</v>
      </c>
      <c r="C27" s="1013"/>
      <c r="D27" s="1013"/>
      <c r="E27" s="1013"/>
      <c r="I27" s="599"/>
      <c r="J27" s="1020"/>
      <c r="K27" s="1020"/>
      <c r="L27" s="1020"/>
      <c r="M27" s="1020"/>
      <c r="T27" s="118" t="s">
        <v>127</v>
      </c>
      <c r="AC27" s="390" t="s">
        <v>474</v>
      </c>
      <c r="HF27" s="10">
        <v>16</v>
      </c>
      <c r="HG27" s="111" t="e">
        <f>'Premissas e Calculos'!#REF!</f>
        <v>#REF!</v>
      </c>
      <c r="HM27" s="109" t="e">
        <f>Apoio!#REF!</f>
        <v>#REF!</v>
      </c>
      <c r="HN27" s="111" t="e">
        <f>Apoio!#REF!</f>
        <v>#REF!</v>
      </c>
      <c r="HO27" s="111" t="e">
        <f>Apoio!#REF!</f>
        <v>#REF!</v>
      </c>
      <c r="HP27" s="111" t="e">
        <f>Apoio!#REF!</f>
        <v>#REF!</v>
      </c>
      <c r="HS27" s="115">
        <f>'DADOS DOS EMPREENDIMENTOS'!A15</f>
        <v>6</v>
      </c>
      <c r="HT27" s="111">
        <f>'DADOS DOS EMPREENDIMENTOS'!B15</f>
        <v>0</v>
      </c>
      <c r="HU27" s="116">
        <f>'DADOS DOS EMPREENDIMENTOS'!C15</f>
        <v>6</v>
      </c>
      <c r="ID27" s="106"/>
      <c r="IE27" s="112"/>
      <c r="IF27" s="106"/>
      <c r="IQ27" s="102" t="s">
        <v>121</v>
      </c>
      <c r="IR27" s="102" t="s">
        <v>112</v>
      </c>
      <c r="IS27" s="542" t="s">
        <v>122</v>
      </c>
      <c r="IT27" s="102" t="s">
        <v>123</v>
      </c>
    </row>
    <row r="28" spans="1:254" ht="27.75" customHeight="1" x14ac:dyDescent="0.2">
      <c r="F28" s="610">
        <f>(1+F26)^(1/12)-1</f>
        <v>6.5581969365593462E-3</v>
      </c>
      <c r="G28" s="611" t="s">
        <v>162</v>
      </c>
      <c r="I28" s="663"/>
      <c r="L28" s="990" t="s">
        <v>171</v>
      </c>
      <c r="M28" s="990"/>
      <c r="N28" s="990"/>
      <c r="O28" s="990"/>
      <c r="P28" s="990"/>
      <c r="Q28" s="990"/>
      <c r="S28" s="1053">
        <f ca="1">IF((S6-((IF(ROUND(IF(G36="PRAZO EXCEDIDO","ERRO",'Premissas e Calculos'!O10),0)&gt;=0,ROUND(IF(G34="PRAZO EXCEDIDO","ERRO",'Premissas e Calculos'!O10),0),0)*'Premissas e Calculos'!G32)+S26+S20))&gt;S31,(IF(ROUND(IF(G34="PRAZO EXCEDIDO","ERRO",'Premissas e Calculos'!O10),0)&gt;=0,ROUND(IF(G34="PRAZO EXCEDIDO","ERRO",'Premissas e Calculos'!O10),0),0)*'Premissas e Calculos'!G32),S7-S30-S20-S26)</f>
        <v>143866.10699999999</v>
      </c>
      <c r="T28" s="1054"/>
      <c r="U28" s="1055"/>
      <c r="V28" s="120"/>
      <c r="W28" s="120"/>
      <c r="HF28" s="10">
        <v>17</v>
      </c>
      <c r="HG28" s="111" t="e">
        <f>'Premissas e Calculos'!#REF!</f>
        <v>#REF!</v>
      </c>
      <c r="HM28" s="109" t="e">
        <f>Apoio!#REF!</f>
        <v>#REF!</v>
      </c>
      <c r="HN28" s="111" t="e">
        <f>Apoio!#REF!</f>
        <v>#REF!</v>
      </c>
      <c r="HO28" s="111" t="e">
        <f>Apoio!#REF!</f>
        <v>#REF!</v>
      </c>
      <c r="HP28" s="111" t="e">
        <f>Apoio!#REF!</f>
        <v>#REF!</v>
      </c>
      <c r="HS28" s="115">
        <f>'DADOS DOS EMPREENDIMENTOS'!A16</f>
        <v>7</v>
      </c>
      <c r="HT28" s="111">
        <f>'DADOS DOS EMPREENDIMENTOS'!B16</f>
        <v>0</v>
      </c>
      <c r="HU28" s="116">
        <f>'DADOS DOS EMPREENDIMENTOS'!C16</f>
        <v>7</v>
      </c>
      <c r="ID28" s="106"/>
      <c r="IE28" s="112"/>
      <c r="IF28" s="106"/>
      <c r="IQ28" s="90">
        <v>240</v>
      </c>
      <c r="IR28" s="121" t="e">
        <f>repasse240</f>
        <v>#REF!</v>
      </c>
      <c r="IS28" s="545" t="e">
        <f>#REF!</f>
        <v>#REF!</v>
      </c>
      <c r="IT28" s="122" t="e">
        <f>#REF!/IQ28</f>
        <v>#REF!</v>
      </c>
    </row>
    <row r="29" spans="1:254" ht="27.75" customHeight="1" x14ac:dyDescent="0.2">
      <c r="I29" s="599"/>
      <c r="L29" s="123"/>
      <c r="M29" s="123"/>
      <c r="N29" s="123"/>
      <c r="S29" s="120"/>
      <c r="T29" s="118" t="s">
        <v>128</v>
      </c>
      <c r="U29" s="120"/>
      <c r="V29" s="120"/>
      <c r="W29" s="120"/>
      <c r="HF29" s="10">
        <v>18</v>
      </c>
      <c r="HG29" s="111" t="e">
        <f>'Premissas e Calculos'!#REF!</f>
        <v>#REF!</v>
      </c>
      <c r="HM29" s="109" t="e">
        <f>Apoio!#REF!</f>
        <v>#REF!</v>
      </c>
      <c r="HN29" s="111" t="e">
        <f>Apoio!#REF!</f>
        <v>#REF!</v>
      </c>
      <c r="HO29" s="111" t="e">
        <f>Apoio!#REF!</f>
        <v>#REF!</v>
      </c>
      <c r="HP29" s="111" t="e">
        <f>Apoio!#REF!</f>
        <v>#REF!</v>
      </c>
      <c r="HS29" s="115">
        <f>'DADOS DOS EMPREENDIMENTOS'!A17</f>
        <v>8</v>
      </c>
      <c r="HT29" s="111">
        <f>'DADOS DOS EMPREENDIMENTOS'!B17</f>
        <v>0</v>
      </c>
      <c r="HU29" s="116">
        <f>'DADOS DOS EMPREENDIMENTOS'!C17</f>
        <v>8</v>
      </c>
      <c r="ID29" s="106"/>
      <c r="IE29" s="112"/>
      <c r="IF29" s="106"/>
      <c r="IQ29" s="90">
        <v>300</v>
      </c>
      <c r="IR29" s="121" t="e">
        <f>repasse300</f>
        <v>#REF!</v>
      </c>
      <c r="IS29" s="545" t="e">
        <f>#REF!</f>
        <v>#REF!</v>
      </c>
      <c r="IT29" s="122" t="e">
        <f>#REF!/IQ29</f>
        <v>#REF!</v>
      </c>
    </row>
    <row r="30" spans="1:254" ht="30.75" customHeight="1" x14ac:dyDescent="0.2">
      <c r="B30" s="1021" t="s">
        <v>297</v>
      </c>
      <c r="C30" s="1021"/>
      <c r="D30" s="1021"/>
      <c r="E30" s="1021"/>
      <c r="F30" s="1022"/>
      <c r="G30" s="656">
        <v>360</v>
      </c>
      <c r="H30" s="599"/>
      <c r="I30" s="599"/>
      <c r="L30" s="990" t="s">
        <v>298</v>
      </c>
      <c r="M30" s="990"/>
      <c r="N30" s="990"/>
      <c r="O30" s="990"/>
      <c r="P30" s="990"/>
      <c r="Q30" s="990"/>
      <c r="S30" s="766">
        <f ca="1">SUM(S28,S26,S20)</f>
        <v>208544.10699999999</v>
      </c>
      <c r="T30" s="767"/>
      <c r="U30" s="768"/>
      <c r="V30" s="124"/>
      <c r="HF30" s="10">
        <v>19</v>
      </c>
      <c r="HG30" s="111" t="e">
        <f>'Premissas e Calculos'!#REF!</f>
        <v>#REF!</v>
      </c>
      <c r="HM30" s="109" t="e">
        <f>Apoio!#REF!</f>
        <v>#REF!</v>
      </c>
      <c r="HN30" s="111" t="e">
        <f>Apoio!#REF!</f>
        <v>#REF!</v>
      </c>
      <c r="HO30" s="111" t="e">
        <f>Apoio!#REF!</f>
        <v>#REF!</v>
      </c>
      <c r="HP30" s="111" t="e">
        <f>Apoio!#REF!</f>
        <v>#REF!</v>
      </c>
      <c r="HS30" s="115">
        <f>'DADOS DOS EMPREENDIMENTOS'!A18</f>
        <v>9</v>
      </c>
      <c r="HT30" s="111">
        <f>'DADOS DOS EMPREENDIMENTOS'!B18</f>
        <v>0</v>
      </c>
      <c r="HU30" s="116">
        <f>'DADOS DOS EMPREENDIMENTOS'!C18</f>
        <v>9</v>
      </c>
      <c r="ID30" s="106"/>
      <c r="IE30" s="112"/>
      <c r="IF30" s="106"/>
      <c r="IQ30" s="90">
        <v>360</v>
      </c>
      <c r="IR30" s="121" t="e">
        <f>#REF!</f>
        <v>#REF!</v>
      </c>
      <c r="IS30" s="545" t="e">
        <f>#REF!</f>
        <v>#REF!</v>
      </c>
      <c r="IT30" s="122" t="e">
        <f>#REF!/IQ30</f>
        <v>#REF!</v>
      </c>
    </row>
    <row r="31" spans="1:254" ht="30.75" customHeight="1" x14ac:dyDescent="0.2">
      <c r="B31" s="708"/>
      <c r="C31" s="708"/>
      <c r="D31" s="708"/>
      <c r="E31" s="708"/>
      <c r="F31" s="708"/>
      <c r="G31" s="708"/>
      <c r="H31" s="708"/>
      <c r="I31" s="599"/>
      <c r="J31" s="708"/>
      <c r="K31" s="708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HF31" s="10"/>
      <c r="HG31" s="111"/>
      <c r="HM31" s="109"/>
      <c r="HN31" s="111"/>
      <c r="HO31" s="111"/>
      <c r="HP31" s="111"/>
      <c r="HS31" s="115"/>
      <c r="HT31" s="111"/>
      <c r="HU31" s="116"/>
      <c r="ID31" s="106"/>
      <c r="IE31" s="112"/>
      <c r="IF31" s="106"/>
      <c r="IQ31" s="90"/>
      <c r="IR31" s="121"/>
      <c r="IS31" s="545"/>
      <c r="IT31" s="122"/>
    </row>
    <row r="32" spans="1:254" ht="30.75" customHeight="1" x14ac:dyDescent="0.2">
      <c r="B32" s="1021" t="s">
        <v>456</v>
      </c>
      <c r="C32" s="1021"/>
      <c r="D32" s="1021"/>
      <c r="E32" s="1021"/>
      <c r="F32" s="1022"/>
      <c r="G32" s="655" t="s">
        <v>209</v>
      </c>
      <c r="H32" s="708"/>
      <c r="I32" s="708"/>
      <c r="J32" s="708"/>
      <c r="K32" s="708"/>
      <c r="L32" s="708"/>
      <c r="M32" s="708"/>
      <c r="N32" s="708"/>
      <c r="O32" s="708"/>
      <c r="P32" s="708"/>
      <c r="Q32" s="708" t="s">
        <v>472</v>
      </c>
      <c r="R32" s="708"/>
      <c r="S32" s="766">
        <f>IF(F20&lt;=(SM*6),0,IF(F20&lt;=(SM*10),0.5*AD26,AD26))</f>
        <v>0</v>
      </c>
      <c r="T32" s="767"/>
      <c r="U32" s="768"/>
      <c r="V32" s="708"/>
      <c r="HF32" s="10"/>
      <c r="HG32" s="111"/>
      <c r="HM32" s="109"/>
      <c r="HN32" s="111"/>
      <c r="HO32" s="111"/>
      <c r="HP32" s="111"/>
      <c r="HS32" s="115"/>
      <c r="HT32" s="111"/>
      <c r="HU32" s="116"/>
      <c r="ID32" s="106"/>
      <c r="IE32" s="112"/>
      <c r="IF32" s="106"/>
      <c r="IQ32" s="90"/>
      <c r="IR32" s="121"/>
      <c r="IS32" s="545"/>
      <c r="IT32" s="122"/>
    </row>
    <row r="33" spans="1:254" ht="30.75" customHeight="1" x14ac:dyDescent="0.2">
      <c r="B33" s="708"/>
      <c r="C33" s="708"/>
      <c r="D33" s="708"/>
      <c r="E33" s="708"/>
      <c r="F33" s="709"/>
      <c r="G33" s="728"/>
      <c r="H33" s="708"/>
      <c r="I33" s="708"/>
      <c r="J33" s="708"/>
      <c r="K33" s="708"/>
      <c r="L33" s="708"/>
      <c r="M33" s="708"/>
      <c r="N33" s="708"/>
      <c r="O33" s="708"/>
      <c r="P33" s="708"/>
      <c r="Q33" s="708" t="s">
        <v>473</v>
      </c>
      <c r="S33" s="766">
        <f>IF(E37="Sim",2600,IF(G32="Não",2600,5200))</f>
        <v>2600</v>
      </c>
      <c r="T33" s="767"/>
      <c r="U33" s="768"/>
      <c r="V33" s="708"/>
      <c r="HF33" s="10"/>
      <c r="HG33" s="111"/>
      <c r="HM33" s="109"/>
      <c r="HN33" s="111"/>
      <c r="HO33" s="111"/>
      <c r="HP33" s="111"/>
      <c r="HS33" s="115"/>
      <c r="HT33" s="111"/>
      <c r="HU33" s="116"/>
      <c r="ID33" s="106"/>
      <c r="IE33" s="112"/>
      <c r="IF33" s="106"/>
      <c r="IQ33" s="90"/>
      <c r="IR33" s="121"/>
      <c r="IS33" s="545"/>
      <c r="IT33" s="122"/>
    </row>
    <row r="34" spans="1:254" ht="25.5" customHeight="1" x14ac:dyDescent="0.2">
      <c r="G34" s="536" t="str">
        <f ca="1">IF(G28&lt;='Premissas e Calculos'!O16,"OK",IF('Premissas e Calculos'!O16&lt;0,"Não é possível financiar. Idade superior à permitida.",CONCATENATE("PRAZO EXCEDIDO, MÁXIMO: ",'Premissas e Calculos'!O16, " MESES")))</f>
        <v>PRAZO EXCEDIDO, MÁXIMO: 420 MESES</v>
      </c>
      <c r="Q34" s="708" t="s">
        <v>475</v>
      </c>
      <c r="S34" s="766">
        <f>SUM(S32:U33)</f>
        <v>2600</v>
      </c>
      <c r="T34" s="767"/>
      <c r="U34" s="768"/>
      <c r="V34" s="124"/>
      <c r="GZ34" s="89" t="s">
        <v>185</v>
      </c>
      <c r="HF34" s="10">
        <v>20</v>
      </c>
      <c r="HG34" s="111" t="e">
        <f>'Premissas e Calculos'!#REF!</f>
        <v>#REF!</v>
      </c>
      <c r="HM34" s="109" t="e">
        <f>Apoio!#REF!</f>
        <v>#REF!</v>
      </c>
      <c r="HN34" s="111" t="e">
        <f>Apoio!#REF!</f>
        <v>#REF!</v>
      </c>
      <c r="HO34" s="111" t="e">
        <f>Apoio!#REF!</f>
        <v>#REF!</v>
      </c>
      <c r="HP34" s="111" t="e">
        <f>Apoio!#REF!</f>
        <v>#REF!</v>
      </c>
      <c r="HS34" s="115">
        <f>'DADOS DOS EMPREENDIMENTOS'!A19</f>
        <v>10</v>
      </c>
      <c r="HT34" s="111">
        <f>'DADOS DOS EMPREENDIMENTOS'!B19</f>
        <v>0</v>
      </c>
      <c r="HU34" s="116">
        <f>'DADOS DOS EMPREENDIMENTOS'!C19</f>
        <v>10</v>
      </c>
      <c r="ID34" s="106"/>
      <c r="IE34" s="112"/>
      <c r="IF34" s="106"/>
    </row>
    <row r="35" spans="1:254" ht="27" customHeight="1" x14ac:dyDescent="0.2">
      <c r="C35" s="772" t="str">
        <f>IF(F20&gt;'Premissas e Calculos'!C7,"Renda acima de R$ 7.000 Financia somente na Tabela SAC em até 360 meses"," ")</f>
        <v xml:space="preserve"> </v>
      </c>
      <c r="D35" s="772"/>
      <c r="E35" s="772"/>
      <c r="F35" s="772"/>
      <c r="G35" s="772"/>
      <c r="H35" s="772"/>
      <c r="I35" s="772"/>
      <c r="J35" s="772"/>
      <c r="K35" s="772"/>
      <c r="L35" s="772"/>
      <c r="M35" s="772"/>
      <c r="N35" s="1056" t="s">
        <v>289</v>
      </c>
      <c r="O35" s="1056"/>
      <c r="P35" s="1056"/>
      <c r="Q35" s="1056"/>
      <c r="R35" s="598"/>
      <c r="S35" s="769"/>
      <c r="T35" s="769"/>
      <c r="U35" s="769"/>
      <c r="V35" s="124"/>
      <c r="AC35" s="390" t="s">
        <v>279</v>
      </c>
      <c r="HF35" s="10"/>
      <c r="HG35" s="111"/>
      <c r="HM35" s="109" t="e">
        <f>Apoio!#REF!</f>
        <v>#REF!</v>
      </c>
      <c r="HN35" s="111" t="e">
        <f>Apoio!#REF!</f>
        <v>#REF!</v>
      </c>
      <c r="HO35" s="111" t="e">
        <f>Apoio!#REF!</f>
        <v>#REF!</v>
      </c>
      <c r="HP35" s="111" t="e">
        <f>Apoio!#REF!</f>
        <v>#REF!</v>
      </c>
      <c r="HS35" s="115">
        <f>'DADOS DOS EMPREENDIMENTOS'!A20</f>
        <v>11</v>
      </c>
      <c r="HT35" s="111">
        <f>'DADOS DOS EMPREENDIMENTOS'!B20</f>
        <v>0</v>
      </c>
      <c r="HU35" s="116">
        <f>'DADOS DOS EMPREENDIMENTOS'!C20</f>
        <v>11</v>
      </c>
      <c r="ID35" s="106"/>
      <c r="IE35" s="112"/>
      <c r="IF35" s="106"/>
    </row>
    <row r="36" spans="1:254" ht="27" customHeight="1" thickBot="1" x14ac:dyDescent="0.25">
      <c r="B36" s="353"/>
      <c r="C36" s="353"/>
      <c r="D36" s="353"/>
      <c r="E36" s="353"/>
      <c r="F36" s="353"/>
      <c r="G36" s="1017" t="str">
        <f ca="1">IF(G30&lt;='Premissas e Calculos'!O16,"OK",IF('Premissas e Calculos'!O16&lt;0,"Não é possível financiar. Idade superior à permitida.",CONCATENATE("PRAZO EXCEDIDO, MÁXIMO: ",'Premissas e Calculos'!O16," MESES")))</f>
        <v>OK</v>
      </c>
      <c r="H36" s="1017"/>
      <c r="I36" s="1017"/>
      <c r="N36" s="699"/>
      <c r="O36" s="699"/>
      <c r="P36" s="699"/>
      <c r="Q36" s="699"/>
      <c r="T36" s="118"/>
      <c r="U36" s="124"/>
      <c r="V36" s="124"/>
      <c r="AC36" s="391">
        <f>IF(M48&gt;N37,M48,N37)</f>
        <v>4459.8600000000006</v>
      </c>
      <c r="HF36" s="10"/>
      <c r="HG36" s="111"/>
      <c r="HM36" s="109"/>
      <c r="HN36" s="111"/>
      <c r="HO36" s="111"/>
      <c r="HP36" s="111"/>
      <c r="HS36" s="115">
        <f>'DADOS DOS EMPREENDIMENTOS'!A21</f>
        <v>12</v>
      </c>
      <c r="HT36" s="111">
        <f>'DADOS DOS EMPREENDIMENTOS'!B21</f>
        <v>0</v>
      </c>
      <c r="HU36" s="116">
        <f>'DADOS DOS EMPREENDIMENTOS'!C21</f>
        <v>12</v>
      </c>
      <c r="ID36" s="106"/>
      <c r="IE36" s="112"/>
      <c r="IF36" s="106"/>
    </row>
    <row r="37" spans="1:254" ht="27" customHeight="1" thickBot="1" x14ac:dyDescent="0.25">
      <c r="B37" s="1023" t="s">
        <v>445</v>
      </c>
      <c r="C37" s="1024"/>
      <c r="D37" s="1025"/>
      <c r="E37" s="646" t="str">
        <f>IF(AND(F20&lt;='Premissas e Calculos'!C7,G32="Não"),"Sim","Não")</f>
        <v>Sim</v>
      </c>
      <c r="F37" s="602"/>
      <c r="G37" s="1017"/>
      <c r="H37" s="1017"/>
      <c r="I37" s="1017"/>
      <c r="J37" s="389" t="s">
        <v>299</v>
      </c>
      <c r="K37" s="352"/>
      <c r="L37" s="352"/>
      <c r="M37" s="615" t="s">
        <v>262</v>
      </c>
      <c r="N37" s="1057">
        <f>(F20*30%)</f>
        <v>1476</v>
      </c>
      <c r="O37" s="1058"/>
      <c r="Q37" s="699" t="s">
        <v>300</v>
      </c>
      <c r="S37" s="766">
        <f ca="1">S35+S30</f>
        <v>208544.10699999999</v>
      </c>
      <c r="T37" s="767"/>
      <c r="U37" s="768"/>
      <c r="V37" s="124"/>
      <c r="AC37" s="391">
        <f>IF(M50&gt;N37,M50,N37)</f>
        <v>1476</v>
      </c>
      <c r="HF37" s="10"/>
      <c r="HG37" s="111"/>
      <c r="HM37" s="109"/>
      <c r="HN37" s="111"/>
      <c r="HO37" s="111"/>
      <c r="HP37" s="111"/>
      <c r="HS37" s="115">
        <f>'DADOS DOS EMPREENDIMENTOS'!A22</f>
        <v>13</v>
      </c>
      <c r="HT37" s="111">
        <f>'DADOS DOS EMPREENDIMENTOS'!B22</f>
        <v>0</v>
      </c>
      <c r="HU37" s="116">
        <f>'DADOS DOS EMPREENDIMENTOS'!C22</f>
        <v>13</v>
      </c>
      <c r="ID37" s="106"/>
      <c r="IE37" s="112"/>
      <c r="IF37" s="106"/>
    </row>
    <row r="38" spans="1:254" ht="9.9499999999999993" customHeight="1" x14ac:dyDescent="0.2">
      <c r="K38" s="125"/>
      <c r="Q38" s="119"/>
      <c r="R38" s="119"/>
      <c r="HF38" s="10">
        <v>21</v>
      </c>
      <c r="HG38" s="111" t="e">
        <f>'Premissas e Calculos'!#REF!</f>
        <v>#REF!</v>
      </c>
      <c r="HS38" s="115">
        <f>'DADOS DOS EMPREENDIMENTOS'!A23</f>
        <v>14</v>
      </c>
      <c r="HT38" s="111">
        <f>'DADOS DOS EMPREENDIMENTOS'!B23</f>
        <v>0</v>
      </c>
      <c r="HU38" s="116">
        <f>'DADOS DOS EMPREENDIMENTOS'!C23</f>
        <v>14</v>
      </c>
      <c r="ID38" s="106"/>
      <c r="IE38" s="112"/>
      <c r="IF38" s="106"/>
    </row>
    <row r="39" spans="1:254" ht="36" customHeight="1" thickBot="1" x14ac:dyDescent="0.25">
      <c r="B39" s="841" t="s">
        <v>224</v>
      </c>
      <c r="C39" s="841"/>
      <c r="D39" s="841"/>
      <c r="E39" s="841"/>
      <c r="F39" s="841"/>
      <c r="G39" s="841"/>
      <c r="H39" s="841"/>
      <c r="I39" s="841"/>
      <c r="J39" s="841"/>
      <c r="K39" s="841"/>
      <c r="L39" s="841"/>
      <c r="M39" s="841"/>
      <c r="N39" s="841"/>
      <c r="O39" s="841"/>
      <c r="P39" s="841"/>
      <c r="Q39" s="841"/>
      <c r="R39" s="841"/>
      <c r="S39" s="841"/>
      <c r="T39" s="841"/>
      <c r="U39" s="841"/>
      <c r="V39" s="841"/>
      <c r="W39" s="841"/>
      <c r="GZ39" s="6" t="s">
        <v>45</v>
      </c>
      <c r="HA39" s="89">
        <v>1</v>
      </c>
      <c r="HF39" s="10">
        <v>22</v>
      </c>
      <c r="HG39" s="111" t="e">
        <f>'Premissas e Calculos'!#REF!</f>
        <v>#REF!</v>
      </c>
      <c r="HM39" s="109"/>
      <c r="HN39" s="110"/>
      <c r="HO39" s="111"/>
      <c r="HP39" s="111"/>
      <c r="HS39" s="115">
        <f>'DADOS DOS EMPREENDIMENTOS'!A24</f>
        <v>0</v>
      </c>
      <c r="HT39" s="111">
        <f>'DADOS DOS EMPREENDIMENTOS'!B24</f>
        <v>0</v>
      </c>
      <c r="HU39" s="116">
        <f>'DADOS DOS EMPREENDIMENTOS'!C24</f>
        <v>0</v>
      </c>
      <c r="ID39" s="106"/>
      <c r="IE39" s="112"/>
      <c r="IF39" s="106"/>
    </row>
    <row r="40" spans="1:254" ht="20.25" customHeight="1" thickBot="1" x14ac:dyDescent="0.25">
      <c r="AA40" s="279" t="s">
        <v>223</v>
      </c>
      <c r="GZ40" s="6" t="s">
        <v>47</v>
      </c>
      <c r="HA40" s="89">
        <v>6</v>
      </c>
      <c r="HF40" s="10">
        <v>23</v>
      </c>
      <c r="HG40" s="111" t="e">
        <f>'Premissas e Calculos'!#REF!</f>
        <v>#REF!</v>
      </c>
      <c r="HM40" s="109"/>
      <c r="HN40" s="110"/>
      <c r="HO40" s="111"/>
      <c r="HP40" s="111"/>
      <c r="HS40" s="115">
        <f>'DADOS DOS EMPREENDIMENTOS'!A25</f>
        <v>0</v>
      </c>
      <c r="HT40" s="111">
        <f>'DADOS DOS EMPREENDIMENTOS'!B25</f>
        <v>0</v>
      </c>
      <c r="HU40" s="116">
        <f>'DADOS DOS EMPREENDIMENTOS'!C25</f>
        <v>0</v>
      </c>
      <c r="ID40" s="106"/>
      <c r="IE40" s="112"/>
      <c r="IF40" s="106"/>
    </row>
    <row r="41" spans="1:254" ht="46.5" hidden="1" customHeight="1" x14ac:dyDescent="0.2">
      <c r="B41" s="831" t="s">
        <v>190</v>
      </c>
      <c r="C41" s="832"/>
      <c r="D41" s="126"/>
      <c r="E41" s="776" t="s">
        <v>194</v>
      </c>
      <c r="F41" s="776"/>
      <c r="G41" s="776" t="s">
        <v>187</v>
      </c>
      <c r="H41" s="776"/>
      <c r="I41" s="776"/>
      <c r="J41" s="1018" t="s">
        <v>186</v>
      </c>
      <c r="K41" s="1018"/>
      <c r="L41" s="1018"/>
      <c r="M41" s="1018" t="s">
        <v>188</v>
      </c>
      <c r="N41" s="1018"/>
      <c r="O41" s="1018"/>
      <c r="P41" s="776" t="s">
        <v>68</v>
      </c>
      <c r="Q41" s="776"/>
      <c r="R41" s="776"/>
      <c r="S41" s="344" t="s">
        <v>273</v>
      </c>
      <c r="T41" s="383">
        <f>+P42+P44+P46+P48</f>
        <v>19931.72</v>
      </c>
      <c r="U41" s="384">
        <f>+P64+P66+P70</f>
        <v>4000</v>
      </c>
      <c r="V41" s="127"/>
      <c r="AA41" s="618">
        <f>+T41-U41</f>
        <v>15931.720000000001</v>
      </c>
      <c r="AD41" s="977" t="s">
        <v>189</v>
      </c>
      <c r="AE41" s="776"/>
      <c r="AF41" s="978"/>
      <c r="GZ41" s="6" t="s">
        <v>35</v>
      </c>
      <c r="HA41" s="89">
        <v>12</v>
      </c>
      <c r="HF41" s="10"/>
      <c r="HG41" s="111"/>
      <c r="HM41" s="109"/>
      <c r="HN41" s="110"/>
      <c r="HO41" s="111"/>
      <c r="HP41" s="111"/>
      <c r="HS41" s="115">
        <f>'DADOS DOS EMPREENDIMENTOS'!A26</f>
        <v>0</v>
      </c>
      <c r="HT41" s="111">
        <f>'DADOS DOS EMPREENDIMENTOS'!B26</f>
        <v>0</v>
      </c>
      <c r="HU41" s="116">
        <f>'DADOS DOS EMPREENDIMENTOS'!C26</f>
        <v>0</v>
      </c>
      <c r="ID41" s="106"/>
      <c r="IE41" s="112"/>
      <c r="IF41" s="106"/>
    </row>
    <row r="42" spans="1:254" ht="38.25" hidden="1" customHeight="1" x14ac:dyDescent="0.2">
      <c r="A42" s="89">
        <f>VLOOKUP(D42,$GZ$39:$HA$48,2,FALSE)</f>
        <v>1</v>
      </c>
      <c r="B42" s="833"/>
      <c r="C42" s="834"/>
      <c r="D42" s="128" t="str">
        <f>+fluxos!A4</f>
        <v>Entrada</v>
      </c>
      <c r="E42" s="774">
        <f>+fluxos!B4</f>
        <v>0</v>
      </c>
      <c r="F42" s="774"/>
      <c r="G42" s="752">
        <f ca="1">IF(I12&lt;43374,43374,I12)</f>
        <v>43802</v>
      </c>
      <c r="H42" s="752"/>
      <c r="I42" s="752"/>
      <c r="J42" s="774">
        <f>HLOOKUP(CONCATENATE($G$4,J41),fluxos!$B$2:$F$13,3,FALSE)</f>
        <v>1</v>
      </c>
      <c r="K42" s="774"/>
      <c r="L42" s="774"/>
      <c r="M42" s="754">
        <f>S6*S42/J42</f>
        <v>3303.6</v>
      </c>
      <c r="N42" s="755"/>
      <c r="O42" s="756"/>
      <c r="P42" s="771">
        <f>M42*J42</f>
        <v>3303.6</v>
      </c>
      <c r="Q42" s="771"/>
      <c r="R42" s="771"/>
      <c r="S42" s="378">
        <f>HLOOKUP(CONCATENATE($G$4,S41),fluxos!$B$2:$F$13,3,FALSE)</f>
        <v>1.4999999999999999E-2</v>
      </c>
      <c r="T42" s="375">
        <f>P42+P44+P46</f>
        <v>11012</v>
      </c>
      <c r="U42" s="376">
        <f>P42</f>
        <v>3303.6</v>
      </c>
      <c r="V42" s="129"/>
      <c r="AA42" s="618">
        <f>+P64+P66+P68</f>
        <v>3000</v>
      </c>
      <c r="AD42" s="902">
        <f ca="1">'Proposta 1 Via'!M16</f>
        <v>3303.6</v>
      </c>
      <c r="AE42" s="755"/>
      <c r="AF42" s="903"/>
      <c r="GZ42" s="6" t="s">
        <v>281</v>
      </c>
      <c r="HF42" s="10"/>
      <c r="HG42" s="111"/>
      <c r="HM42" s="109"/>
      <c r="HN42" s="110"/>
      <c r="HO42" s="111"/>
      <c r="HP42" s="111"/>
      <c r="HS42" s="115">
        <f>'DADOS DOS EMPREENDIMENTOS'!A27</f>
        <v>0</v>
      </c>
      <c r="HT42" s="111">
        <f>'DADOS DOS EMPREENDIMENTOS'!B27</f>
        <v>0</v>
      </c>
      <c r="HU42" s="116">
        <f>'DADOS DOS EMPREENDIMENTOS'!C27</f>
        <v>0</v>
      </c>
      <c r="ID42" s="106"/>
      <c r="IE42" s="112"/>
      <c r="IF42" s="106"/>
    </row>
    <row r="43" spans="1:254" ht="19.5" hidden="1" customHeight="1" x14ac:dyDescent="0.2">
      <c r="B43" s="833"/>
      <c r="C43" s="834"/>
      <c r="D43" s="371"/>
      <c r="E43" s="372"/>
      <c r="F43" s="372"/>
      <c r="G43" s="373"/>
      <c r="H43" s="373"/>
      <c r="I43" s="373"/>
      <c r="J43" s="372"/>
      <c r="K43" s="372"/>
      <c r="L43" s="372"/>
      <c r="M43" s="374"/>
      <c r="N43" s="374"/>
      <c r="O43" s="374"/>
      <c r="P43" s="374"/>
      <c r="Q43" s="374"/>
      <c r="R43" s="374"/>
      <c r="S43" s="379"/>
      <c r="T43" s="375">
        <f>P42+P44</f>
        <v>6607.2</v>
      </c>
      <c r="U43" s="377">
        <f>+P64+P66</f>
        <v>3000</v>
      </c>
      <c r="V43" s="129"/>
      <c r="AA43" s="619"/>
      <c r="AD43" s="369"/>
      <c r="AE43" s="368"/>
      <c r="AF43" s="370"/>
      <c r="GZ43" s="6" t="s">
        <v>282</v>
      </c>
      <c r="HF43" s="10"/>
      <c r="HG43" s="111"/>
      <c r="HM43" s="109"/>
      <c r="HN43" s="110"/>
      <c r="HO43" s="111"/>
      <c r="HP43" s="111"/>
      <c r="HS43" s="115"/>
      <c r="HT43" s="111"/>
      <c r="HU43" s="116"/>
      <c r="ID43" s="106"/>
      <c r="IE43" s="112"/>
      <c r="IF43" s="106"/>
    </row>
    <row r="44" spans="1:254" ht="38.25" hidden="1" customHeight="1" x14ac:dyDescent="0.2">
      <c r="B44" s="833"/>
      <c r="C44" s="834"/>
      <c r="D44" s="128" t="str">
        <f>+fluxos!A5</f>
        <v>Entrada</v>
      </c>
      <c r="E44" s="774">
        <f>+fluxos!B5</f>
        <v>1</v>
      </c>
      <c r="F44" s="774"/>
      <c r="G44" s="752">
        <f ca="1">DATE(YEAR(G42),MONTH(G42)+(E44-E42),DAY(G42))</f>
        <v>43833</v>
      </c>
      <c r="H44" s="752"/>
      <c r="I44" s="752"/>
      <c r="J44" s="774">
        <f>HLOOKUP(CONCATENATE($G$4,J41),fluxos!$B$2:$F$13,4,FALSE)</f>
        <v>1</v>
      </c>
      <c r="K44" s="774"/>
      <c r="L44" s="774"/>
      <c r="M44" s="754">
        <f>S6*S44/J44</f>
        <v>3303.6</v>
      </c>
      <c r="N44" s="755"/>
      <c r="O44" s="756"/>
      <c r="P44" s="771">
        <f>M44*J44</f>
        <v>3303.6</v>
      </c>
      <c r="Q44" s="771"/>
      <c r="R44" s="771"/>
      <c r="S44" s="378">
        <f>HLOOKUP(CONCATENATE($G$4,S41),fluxos!$B$2:$F$13,4,FALSE)</f>
        <v>1.4999999999999999E-2</v>
      </c>
      <c r="T44" s="377">
        <f>T43-U42</f>
        <v>3303.6</v>
      </c>
      <c r="U44" s="89">
        <f>IF(T44&lt;0,"0",T44)</f>
        <v>3303.6</v>
      </c>
      <c r="V44" s="129"/>
      <c r="AA44" s="618">
        <f>+T42-AA42</f>
        <v>8012</v>
      </c>
      <c r="AD44" s="902">
        <f ca="1">'Proposta 1 Via'!M17</f>
        <v>3279.96026589958</v>
      </c>
      <c r="AE44" s="755"/>
      <c r="AF44" s="903"/>
      <c r="GZ44" s="6"/>
      <c r="HF44" s="10"/>
      <c r="HG44" s="111"/>
      <c r="HM44" s="109"/>
      <c r="HN44" s="110"/>
      <c r="HO44" s="111"/>
      <c r="HP44" s="111"/>
      <c r="HS44" s="115"/>
      <c r="HT44" s="111"/>
      <c r="HU44" s="116"/>
      <c r="ID44" s="106"/>
      <c r="IE44" s="112"/>
      <c r="IF44" s="106"/>
    </row>
    <row r="45" spans="1:254" ht="21.75" hidden="1" customHeight="1" x14ac:dyDescent="0.2">
      <c r="B45" s="833"/>
      <c r="C45" s="834"/>
      <c r="D45" s="371"/>
      <c r="E45" s="372"/>
      <c r="F45" s="372"/>
      <c r="G45" s="373"/>
      <c r="H45" s="373"/>
      <c r="I45" s="373"/>
      <c r="J45" s="372"/>
      <c r="K45" s="372"/>
      <c r="L45" s="372"/>
      <c r="M45" s="374"/>
      <c r="N45" s="374"/>
      <c r="O45" s="374"/>
      <c r="P45" s="374"/>
      <c r="Q45" s="374"/>
      <c r="R45" s="374"/>
      <c r="S45" s="379"/>
      <c r="U45" s="106"/>
      <c r="V45" s="129"/>
      <c r="AA45" s="619"/>
      <c r="AD45" s="369"/>
      <c r="AE45" s="368"/>
      <c r="AF45" s="370"/>
      <c r="GZ45" s="6"/>
      <c r="HF45" s="10"/>
      <c r="HG45" s="111"/>
      <c r="HM45" s="109"/>
      <c r="HN45" s="110"/>
      <c r="HO45" s="111"/>
      <c r="HP45" s="111"/>
      <c r="HS45" s="115"/>
      <c r="HT45" s="111"/>
      <c r="HU45" s="116"/>
      <c r="ID45" s="106"/>
      <c r="IE45" s="112"/>
      <c r="IF45" s="106"/>
    </row>
    <row r="46" spans="1:254" ht="38.25" hidden="1" customHeight="1" x14ac:dyDescent="0.2">
      <c r="B46" s="833"/>
      <c r="C46" s="834"/>
      <c r="D46" s="128" t="str">
        <f>+fluxos!A6</f>
        <v>Entrada</v>
      </c>
      <c r="E46" s="774">
        <f>+fluxos!B6</f>
        <v>2</v>
      </c>
      <c r="F46" s="774"/>
      <c r="G46" s="752">
        <f ca="1">DATE(YEAR(G42),MONTH(G42)+(E46-E42),DAY(G42))</f>
        <v>43864</v>
      </c>
      <c r="H46" s="752"/>
      <c r="I46" s="752"/>
      <c r="J46" s="774">
        <v>2</v>
      </c>
      <c r="K46" s="774"/>
      <c r="L46" s="774"/>
      <c r="M46" s="754">
        <f>$S$6*S46/J46</f>
        <v>2202.4</v>
      </c>
      <c r="N46" s="755"/>
      <c r="O46" s="756"/>
      <c r="P46" s="771">
        <f>M46*J46</f>
        <v>4404.8</v>
      </c>
      <c r="Q46" s="771"/>
      <c r="R46" s="771"/>
      <c r="S46" s="378">
        <f>HLOOKUP(CONCATENATE($G$4,S41),fluxos!$B$2:$F$13,5,FALSE)</f>
        <v>0.02</v>
      </c>
      <c r="T46" s="375">
        <f>+P42+P44+P46</f>
        <v>11012</v>
      </c>
      <c r="U46" s="377">
        <f>T46-U43</f>
        <v>8012</v>
      </c>
      <c r="V46" s="129"/>
      <c r="AA46" s="618">
        <f>(+AA41-P70)/E70</f>
        <v>14931.720000000001</v>
      </c>
      <c r="AD46" s="902">
        <f ca="1">'Proposta 1 Via'!M18</f>
        <v>4326.4511727296922</v>
      </c>
      <c r="AE46" s="755"/>
      <c r="AF46" s="903"/>
      <c r="GZ46" s="6"/>
      <c r="HF46" s="10"/>
      <c r="HG46" s="111"/>
      <c r="HM46" s="109"/>
      <c r="HN46" s="110"/>
      <c r="HO46" s="111"/>
      <c r="HP46" s="111"/>
      <c r="HS46" s="115"/>
      <c r="HT46" s="111"/>
      <c r="HU46" s="116"/>
      <c r="ID46" s="106"/>
      <c r="IE46" s="112"/>
      <c r="IF46" s="106"/>
    </row>
    <row r="47" spans="1:254" ht="29.25" hidden="1" customHeight="1" x14ac:dyDescent="0.2">
      <c r="B47" s="833"/>
      <c r="C47" s="834"/>
      <c r="D47" s="130"/>
      <c r="E47" s="106"/>
      <c r="F47" s="106"/>
      <c r="G47" s="106"/>
      <c r="H47" s="753"/>
      <c r="I47" s="753"/>
      <c r="J47" s="751"/>
      <c r="K47" s="751"/>
      <c r="L47" s="751"/>
      <c r="M47" s="773"/>
      <c r="N47" s="773"/>
      <c r="O47" s="706"/>
      <c r="P47" s="773"/>
      <c r="Q47" s="773"/>
      <c r="R47" s="106"/>
      <c r="S47" s="378"/>
      <c r="U47" s="594">
        <f>U46/3</f>
        <v>2670.6666666666665</v>
      </c>
      <c r="V47" s="129"/>
      <c r="AA47" s="618">
        <f>+AA46+G70</f>
        <v>15931.720000000001</v>
      </c>
      <c r="AD47" s="983"/>
      <c r="AE47" s="773"/>
      <c r="AF47" s="131"/>
      <c r="GZ47" s="6"/>
      <c r="HF47" s="10"/>
      <c r="HG47" s="10"/>
      <c r="HM47" s="109"/>
      <c r="HN47" s="110"/>
      <c r="HO47" s="111"/>
      <c r="HP47" s="111"/>
      <c r="HS47" s="115">
        <f>'DADOS DOS EMPREENDIMENTOS'!A28</f>
        <v>0</v>
      </c>
      <c r="HT47" s="111">
        <f>'DADOS DOS EMPREENDIMENTOS'!B28</f>
        <v>0</v>
      </c>
      <c r="HU47" s="116">
        <f>'DADOS DOS EMPREENDIMENTOS'!C28</f>
        <v>0</v>
      </c>
      <c r="ID47" s="106"/>
      <c r="IE47" s="112"/>
      <c r="IF47" s="106"/>
    </row>
    <row r="48" spans="1:254" ht="38.25" hidden="1" customHeight="1" x14ac:dyDescent="0.2">
      <c r="A48" s="89">
        <f>VLOOKUP(D48,$GZ$39:$HA$48,2,FALSE)</f>
        <v>12</v>
      </c>
      <c r="B48" s="833"/>
      <c r="C48" s="834"/>
      <c r="D48" s="132" t="str">
        <f>+fluxos!A7</f>
        <v>Anual</v>
      </c>
      <c r="E48" s="748">
        <f>+fluxos!B7</f>
        <v>12</v>
      </c>
      <c r="F48" s="750"/>
      <c r="G48" s="1030">
        <f ca="1">DATE(YEAR(G42),MONTH(G42)+(E48-E42),DAY(G42))</f>
        <v>44168</v>
      </c>
      <c r="H48" s="1031"/>
      <c r="I48" s="1032"/>
      <c r="J48" s="748">
        <v>2</v>
      </c>
      <c r="K48" s="749"/>
      <c r="L48" s="750"/>
      <c r="M48" s="754">
        <f>$S$6*S48/J48</f>
        <v>4459.8600000000006</v>
      </c>
      <c r="N48" s="755"/>
      <c r="O48" s="756"/>
      <c r="P48" s="754">
        <f>M48*J48</f>
        <v>8919.7200000000012</v>
      </c>
      <c r="Q48" s="755"/>
      <c r="R48" s="756"/>
      <c r="S48" s="378">
        <f>HLOOKUP(CONCATENATE($G$4,S41),fluxos!$B$2:$F$13,6,FALSE)</f>
        <v>4.0500000000000001E-2</v>
      </c>
      <c r="U48" s="106"/>
      <c r="V48" s="129"/>
      <c r="AA48" s="619"/>
      <c r="AD48" s="902">
        <f ca="1">'Proposta 1 Via'!M19</f>
        <v>8242.2085375499246</v>
      </c>
      <c r="AE48" s="755"/>
      <c r="AF48" s="903"/>
      <c r="GZ48" s="89" t="s">
        <v>184</v>
      </c>
      <c r="HA48" s="89">
        <v>1</v>
      </c>
      <c r="HF48" s="10"/>
      <c r="HG48" s="10"/>
      <c r="HM48" s="109"/>
      <c r="HN48" s="110"/>
      <c r="HO48" s="111"/>
      <c r="HP48" s="111"/>
      <c r="HS48" s="115">
        <f>'DADOS DOS EMPREENDIMENTOS'!A29</f>
        <v>0</v>
      </c>
      <c r="HT48" s="111">
        <f>'DADOS DOS EMPREENDIMENTOS'!B29</f>
        <v>0</v>
      </c>
      <c r="HU48" s="116">
        <f>'DADOS DOS EMPREENDIMENTOS'!C29</f>
        <v>0</v>
      </c>
      <c r="ID48" s="106"/>
      <c r="IE48" s="112"/>
      <c r="IF48" s="106"/>
    </row>
    <row r="49" spans="1:240" ht="19.5" hidden="1" customHeight="1" x14ac:dyDescent="0.2">
      <c r="B49" s="833"/>
      <c r="C49" s="834"/>
      <c r="D49" s="130"/>
      <c r="E49" s="106"/>
      <c r="F49" s="106"/>
      <c r="G49" s="106"/>
      <c r="H49" s="753"/>
      <c r="I49" s="753"/>
      <c r="J49" s="751"/>
      <c r="K49" s="751"/>
      <c r="L49" s="751"/>
      <c r="M49" s="773"/>
      <c r="N49" s="773"/>
      <c r="O49" s="706"/>
      <c r="P49" s="773"/>
      <c r="Q49" s="773"/>
      <c r="R49" s="106"/>
      <c r="S49" s="378"/>
      <c r="U49" s="106"/>
      <c r="V49" s="129"/>
      <c r="AA49" s="619"/>
      <c r="AD49" s="983"/>
      <c r="AE49" s="773"/>
      <c r="AF49" s="131"/>
      <c r="HF49" s="10"/>
      <c r="HG49" s="10"/>
      <c r="HM49" s="109"/>
      <c r="HN49" s="110"/>
      <c r="HO49" s="111"/>
      <c r="HP49" s="111"/>
      <c r="HS49" s="115">
        <f>'DADOS DOS EMPREENDIMENTOS'!A30</f>
        <v>0</v>
      </c>
      <c r="HT49" s="111">
        <f>'DADOS DOS EMPREENDIMENTOS'!B30</f>
        <v>0</v>
      </c>
      <c r="HU49" s="116">
        <f>'DADOS DOS EMPREENDIMENTOS'!C30</f>
        <v>0</v>
      </c>
      <c r="ID49" s="106"/>
      <c r="IE49" s="112"/>
      <c r="IF49" s="106"/>
    </row>
    <row r="50" spans="1:240" ht="38.25" hidden="1" customHeight="1" x14ac:dyDescent="0.2">
      <c r="A50" s="89">
        <f>VLOOKUP(D50,$GZ$39:$HA$48,2,FALSE)</f>
        <v>0</v>
      </c>
      <c r="B50" s="833"/>
      <c r="C50" s="834"/>
      <c r="D50" s="132" t="str">
        <f>+fluxos!A8</f>
        <v>Mensal 1</v>
      </c>
      <c r="E50" s="1028">
        <f>+fluxos!B8</f>
        <v>0</v>
      </c>
      <c r="F50" s="1029"/>
      <c r="G50" s="1030">
        <f ca="1">DATE(YEAR(G48),MONTH(G48)+(E50-E48),DAY(G48))</f>
        <v>43802</v>
      </c>
      <c r="H50" s="1031"/>
      <c r="I50" s="1032"/>
      <c r="J50" s="748">
        <f>HLOOKUP(CONCATENATE($G$4,J41),fluxos!$B$2:$F$13,7,FALSE)</f>
        <v>0</v>
      </c>
      <c r="K50" s="749"/>
      <c r="L50" s="750"/>
      <c r="M50" s="754">
        <v>0</v>
      </c>
      <c r="N50" s="755"/>
      <c r="O50" s="756"/>
      <c r="P50" s="754">
        <f>M50*J50</f>
        <v>0</v>
      </c>
      <c r="Q50" s="755"/>
      <c r="R50" s="756"/>
      <c r="S50" s="378">
        <f>HLOOKUP(CONCATENATE($G$4,S41),fluxos!$B$2:$F$13,7,FALSE)</f>
        <v>0</v>
      </c>
      <c r="U50" s="106"/>
      <c r="V50" s="129"/>
      <c r="AA50" s="620">
        <f>S6*10%/20</f>
        <v>1101.2</v>
      </c>
      <c r="AD50" s="902">
        <f ca="1">'Proposta 1 Via'!M20</f>
        <v>0</v>
      </c>
      <c r="AE50" s="755"/>
      <c r="AF50" s="903"/>
      <c r="HF50" s="10"/>
      <c r="HG50" s="10"/>
      <c r="HM50" s="109"/>
      <c r="HN50" s="110"/>
      <c r="HO50" s="111"/>
      <c r="HP50" s="111"/>
      <c r="HS50" s="115">
        <f>'DADOS DOS EMPREENDIMENTOS'!A31</f>
        <v>0</v>
      </c>
      <c r="HT50" s="111">
        <f>'DADOS DOS EMPREENDIMENTOS'!B31</f>
        <v>0</v>
      </c>
      <c r="HU50" s="116">
        <f>'DADOS DOS EMPREENDIMENTOS'!C31</f>
        <v>0</v>
      </c>
      <c r="ID50" s="106"/>
      <c r="IE50" s="112"/>
      <c r="IF50" s="106"/>
    </row>
    <row r="51" spans="1:240" ht="19.5" hidden="1" customHeight="1" x14ac:dyDescent="0.2">
      <c r="B51" s="833"/>
      <c r="C51" s="834"/>
      <c r="D51" s="130"/>
      <c r="E51" s="106"/>
      <c r="F51" s="106"/>
      <c r="G51" s="106"/>
      <c r="H51" s="711"/>
      <c r="I51" s="711"/>
      <c r="J51" s="710"/>
      <c r="K51" s="710"/>
      <c r="L51" s="710"/>
      <c r="M51" s="706"/>
      <c r="N51" s="706"/>
      <c r="O51" s="706"/>
      <c r="P51" s="706"/>
      <c r="Q51" s="706"/>
      <c r="R51" s="106"/>
      <c r="S51" s="378"/>
      <c r="U51" s="106"/>
      <c r="V51" s="129"/>
      <c r="W51" s="141"/>
      <c r="AA51" s="621"/>
      <c r="AD51" s="705"/>
      <c r="AE51" s="706"/>
      <c r="AF51" s="131"/>
      <c r="HF51" s="10"/>
      <c r="HG51" s="10"/>
      <c r="HM51" s="109"/>
      <c r="HN51" s="110"/>
      <c r="HO51" s="111"/>
      <c r="HP51" s="111"/>
      <c r="HS51" s="115">
        <f>'DADOS DOS EMPREENDIMENTOS'!A32</f>
        <v>0</v>
      </c>
      <c r="HT51" s="111">
        <f>'DADOS DOS EMPREENDIMENTOS'!B32</f>
        <v>0</v>
      </c>
      <c r="HU51" s="116">
        <f>'DADOS DOS EMPREENDIMENTOS'!C32</f>
        <v>0</v>
      </c>
      <c r="ID51" s="106"/>
      <c r="IE51" s="112"/>
      <c r="IF51" s="106"/>
    </row>
    <row r="52" spans="1:240" ht="38.25" hidden="1" customHeight="1" x14ac:dyDescent="0.2">
      <c r="A52" s="89">
        <f>VLOOKUP(D52,$GZ$39:$HA$48,2,FALSE)</f>
        <v>0</v>
      </c>
      <c r="B52" s="833"/>
      <c r="C52" s="834"/>
      <c r="D52" s="132" t="str">
        <f>+fluxos!A9</f>
        <v>Mensal 2</v>
      </c>
      <c r="E52" s="1026">
        <f>+fluxos!B9</f>
        <v>3</v>
      </c>
      <c r="F52" s="1026"/>
      <c r="G52" s="752">
        <f ca="1">DATE(YEAR(G50),MONTH(G50)+(E52-E50),DAY(G50))</f>
        <v>43893</v>
      </c>
      <c r="H52" s="752"/>
      <c r="I52" s="752"/>
      <c r="J52" s="774">
        <f>HLOOKUP(CONCATENATE($G$4,J41),fluxos!$B$2:$F$13,8,FALSE)</f>
        <v>8</v>
      </c>
      <c r="K52" s="774"/>
      <c r="L52" s="774"/>
      <c r="M52" s="771">
        <f>(S6*S52)/J52</f>
        <v>3000.77</v>
      </c>
      <c r="N52" s="771"/>
      <c r="O52" s="771"/>
      <c r="P52" s="771">
        <f>M52*J52</f>
        <v>24006.16</v>
      </c>
      <c r="Q52" s="771"/>
      <c r="R52" s="771"/>
      <c r="S52" s="380">
        <f>HLOOKUP(CONCATENATE($G$4,S41),fluxos!$B$2:$F$13,8,FALSE)</f>
        <v>0.109</v>
      </c>
      <c r="U52" s="106"/>
      <c r="V52" s="129"/>
      <c r="W52" s="525">
        <f>S6*2%</f>
        <v>4404.8</v>
      </c>
      <c r="AA52" s="620">
        <f>S6*4.5%/2</f>
        <v>4955.3999999999996</v>
      </c>
      <c r="AD52" s="902">
        <f ca="1">'Proposta 1 Via'!M21</f>
        <v>22914.416534667685</v>
      </c>
      <c r="AE52" s="755"/>
      <c r="AF52" s="903"/>
      <c r="HF52" s="10"/>
      <c r="HG52" s="10"/>
      <c r="HM52" s="109"/>
      <c r="HN52" s="110"/>
      <c r="HO52" s="111"/>
      <c r="HP52" s="111"/>
      <c r="HS52" s="115">
        <f>'DADOS DOS EMPREENDIMENTOS'!A33</f>
        <v>0</v>
      </c>
      <c r="HT52" s="111">
        <f>'DADOS DOS EMPREENDIMENTOS'!B33</f>
        <v>0</v>
      </c>
      <c r="HU52" s="116">
        <f>'DADOS DOS EMPREENDIMENTOS'!C33</f>
        <v>0</v>
      </c>
      <c r="ID52" s="106"/>
      <c r="IE52" s="112"/>
      <c r="IF52" s="106"/>
    </row>
    <row r="53" spans="1:240" ht="19.5" hidden="1" customHeight="1" x14ac:dyDescent="0.2">
      <c r="B53" s="833"/>
      <c r="C53" s="834"/>
      <c r="D53" s="130"/>
      <c r="E53" s="106"/>
      <c r="F53" s="106"/>
      <c r="G53" s="106"/>
      <c r="H53" s="753"/>
      <c r="I53" s="753"/>
      <c r="J53" s="751"/>
      <c r="K53" s="751"/>
      <c r="L53" s="751"/>
      <c r="M53" s="773"/>
      <c r="N53" s="773"/>
      <c r="O53" s="706"/>
      <c r="P53" s="773"/>
      <c r="Q53" s="773"/>
      <c r="R53" s="106"/>
      <c r="S53" s="378"/>
      <c r="U53" s="106"/>
      <c r="V53" s="129"/>
      <c r="AA53" s="619"/>
      <c r="AD53" s="983"/>
      <c r="AE53" s="773"/>
      <c r="AF53" s="131"/>
      <c r="HF53" s="10"/>
      <c r="HG53" s="10"/>
      <c r="HM53" s="109"/>
      <c r="HN53" s="110"/>
      <c r="HO53" s="111"/>
      <c r="HP53" s="111"/>
      <c r="HS53" s="115">
        <f>'DADOS DOS EMPREENDIMENTOS'!A34</f>
        <v>0</v>
      </c>
      <c r="HT53" s="111">
        <f>'DADOS DOS EMPREENDIMENTOS'!B34</f>
        <v>0</v>
      </c>
      <c r="HU53" s="116">
        <f>'DADOS DOS EMPREENDIMENTOS'!C34</f>
        <v>0</v>
      </c>
      <c r="ID53" s="106"/>
      <c r="IE53" s="112"/>
      <c r="IF53" s="106"/>
    </row>
    <row r="54" spans="1:240" ht="38.25" hidden="1" customHeight="1" x14ac:dyDescent="0.2">
      <c r="A54" s="89" t="e">
        <f>VLOOKUP(D54,$GZ$39:$HA$48,2,FALSE)</f>
        <v>#N/A</v>
      </c>
      <c r="B54" s="833"/>
      <c r="C54" s="834"/>
      <c r="D54" s="128" t="str">
        <f>+fluxos!A10</f>
        <v>Chaves</v>
      </c>
      <c r="E54" s="1026">
        <f>+fluxos!B10</f>
        <v>36</v>
      </c>
      <c r="F54" s="1026"/>
      <c r="G54" s="752">
        <f ca="1">DATE(YEAR(G52),MONTH(G52)+(E54-E52),DAY(G52))</f>
        <v>44898</v>
      </c>
      <c r="H54" s="752"/>
      <c r="I54" s="752"/>
      <c r="J54" s="774">
        <f>HLOOKUP(CONCATENATE($G$4,J41),fluxos!$B$2:$F$13,9,FALSE)</f>
        <v>1</v>
      </c>
      <c r="K54" s="774"/>
      <c r="L54" s="774"/>
      <c r="M54" s="754">
        <f>(S6*S54)</f>
        <v>110.12</v>
      </c>
      <c r="N54" s="755"/>
      <c r="O54" s="756"/>
      <c r="P54" s="771">
        <f>M54*J54</f>
        <v>110.12</v>
      </c>
      <c r="Q54" s="771"/>
      <c r="R54" s="771"/>
      <c r="S54" s="380">
        <f>HLOOKUP(CONCATENATE($G$4,S41),fluxos!$B$2:$F$13,9,FALSE)</f>
        <v>5.0000000000000001E-4</v>
      </c>
      <c r="U54" s="106"/>
      <c r="V54" s="129"/>
      <c r="AA54" s="620">
        <f>S6*4.5%</f>
        <v>9910.7999999999993</v>
      </c>
      <c r="AD54" s="902">
        <f ca="1">'Proposta 1 Via'!M22</f>
        <v>101.75566095740646</v>
      </c>
      <c r="AE54" s="755"/>
      <c r="AF54" s="903"/>
      <c r="HF54" s="10"/>
      <c r="HG54" s="10"/>
      <c r="HM54" s="109"/>
      <c r="HN54" s="110"/>
      <c r="HO54" s="111"/>
      <c r="HP54" s="111"/>
      <c r="HS54" s="115">
        <f>'DADOS DOS EMPREENDIMENTOS'!A35</f>
        <v>0</v>
      </c>
      <c r="HT54" s="111">
        <f>'DADOS DOS EMPREENDIMENTOS'!B35</f>
        <v>0</v>
      </c>
      <c r="HU54" s="116">
        <f>'DADOS DOS EMPREENDIMENTOS'!C35</f>
        <v>0</v>
      </c>
      <c r="ID54" s="106"/>
      <c r="IE54" s="112"/>
      <c r="IF54" s="106"/>
    </row>
    <row r="55" spans="1:240" ht="19.5" hidden="1" customHeight="1" x14ac:dyDescent="0.2">
      <c r="B55" s="833"/>
      <c r="C55" s="834"/>
      <c r="D55" s="130"/>
      <c r="E55" s="106"/>
      <c r="F55" s="106"/>
      <c r="G55" s="106"/>
      <c r="H55" s="711"/>
      <c r="I55" s="711"/>
      <c r="J55" s="710"/>
      <c r="K55" s="710"/>
      <c r="L55" s="710"/>
      <c r="M55" s="706"/>
      <c r="N55" s="706"/>
      <c r="O55" s="706"/>
      <c r="P55" s="706"/>
      <c r="Q55" s="706"/>
      <c r="R55" s="106"/>
      <c r="U55" s="106"/>
      <c r="V55" s="129"/>
      <c r="AA55" s="278"/>
      <c r="AD55" s="705"/>
      <c r="AE55" s="706"/>
      <c r="AF55" s="131"/>
      <c r="HF55" s="10"/>
      <c r="HG55" s="10"/>
      <c r="HM55" s="109"/>
      <c r="HN55" s="110"/>
      <c r="HO55" s="111"/>
      <c r="HP55" s="111"/>
      <c r="HS55" s="115"/>
      <c r="HT55" s="111"/>
      <c r="HU55" s="116"/>
      <c r="ID55" s="106"/>
      <c r="IE55" s="112"/>
      <c r="IF55" s="106"/>
    </row>
    <row r="56" spans="1:240" ht="38.25" hidden="1" customHeight="1" x14ac:dyDescent="0.2">
      <c r="A56" s="89">
        <v>1</v>
      </c>
      <c r="B56" s="833"/>
      <c r="C56" s="834"/>
      <c r="D56" s="128" t="str">
        <f>+fluxos!A11</f>
        <v>Repasse</v>
      </c>
      <c r="E56" s="775">
        <f>'Premissas e Calculos'!J30</f>
        <v>3</v>
      </c>
      <c r="F56" s="775"/>
      <c r="G56" s="752">
        <f ca="1">DATE(YEAR(G42),MONTH(G42)+(E56-E42)+0,DAY(G42))</f>
        <v>43893</v>
      </c>
      <c r="H56" s="752"/>
      <c r="I56" s="752"/>
      <c r="J56" s="774">
        <v>1</v>
      </c>
      <c r="K56" s="774"/>
      <c r="L56" s="774"/>
      <c r="M56" s="1064">
        <f>S6-P42-P44-P46-P48-P50-P52-P54</f>
        <v>176192</v>
      </c>
      <c r="N56" s="1064"/>
      <c r="O56" s="1064"/>
      <c r="P56" s="771">
        <f>M56*J56</f>
        <v>176192</v>
      </c>
      <c r="Q56" s="771"/>
      <c r="R56" s="771"/>
      <c r="S56" s="380">
        <f>+M56/S6</f>
        <v>0.8</v>
      </c>
      <c r="U56" s="106"/>
      <c r="V56" s="129"/>
      <c r="AA56" s="278"/>
      <c r="AD56" s="902">
        <f ca="1">'Proposta 1 Via'!M23</f>
        <v>172436.64358824361</v>
      </c>
      <c r="AE56" s="755"/>
      <c r="AF56" s="903"/>
      <c r="HF56" s="10"/>
      <c r="HG56" s="10"/>
      <c r="HM56" s="109"/>
      <c r="HN56" s="110"/>
      <c r="HO56" s="111"/>
      <c r="HP56" s="111"/>
      <c r="HS56" s="115">
        <f>'DADOS DOS EMPREENDIMENTOS'!A35</f>
        <v>0</v>
      </c>
      <c r="HT56" s="111">
        <f>'DADOS DOS EMPREENDIMENTOS'!B35</f>
        <v>0</v>
      </c>
      <c r="HU56" s="116">
        <f>'DADOS DOS EMPREENDIMENTOS'!C35</f>
        <v>0</v>
      </c>
      <c r="ID56" s="106"/>
      <c r="IE56" s="112"/>
      <c r="IF56" s="106"/>
    </row>
    <row r="57" spans="1:240" ht="19.5" hidden="1" customHeight="1" x14ac:dyDescent="0.2">
      <c r="B57" s="833"/>
      <c r="C57" s="834"/>
      <c r="D57" s="133"/>
      <c r="E57" s="106"/>
      <c r="F57" s="106"/>
      <c r="G57" s="106"/>
      <c r="H57" s="133"/>
      <c r="I57" s="134"/>
      <c r="J57" s="133"/>
      <c r="K57" s="133"/>
      <c r="L57" s="134"/>
      <c r="M57" s="133"/>
      <c r="N57" s="133"/>
      <c r="O57" s="106"/>
      <c r="P57" s="112"/>
      <c r="Q57" s="112"/>
      <c r="R57" s="106"/>
      <c r="U57" s="106"/>
      <c r="V57" s="129"/>
      <c r="AA57" s="278"/>
      <c r="AD57" s="135"/>
      <c r="AE57" s="134"/>
      <c r="AF57" s="136"/>
      <c r="HF57" s="10"/>
      <c r="HG57" s="10"/>
      <c r="HM57" s="109"/>
      <c r="HN57" s="110"/>
      <c r="HO57" s="111"/>
      <c r="HP57" s="111"/>
      <c r="HS57" s="115">
        <f>'DADOS DOS EMPREENDIMENTOS'!A36</f>
        <v>0</v>
      </c>
      <c r="HT57" s="111">
        <f>'DADOS DOS EMPREENDIMENTOS'!B36</f>
        <v>0</v>
      </c>
      <c r="HU57" s="116">
        <f>'DADOS DOS EMPREENDIMENTOS'!C36</f>
        <v>0</v>
      </c>
      <c r="ID57" s="106"/>
      <c r="IE57" s="112"/>
      <c r="IF57" s="106"/>
    </row>
    <row r="58" spans="1:240" ht="38.25" hidden="1" customHeight="1" x14ac:dyDescent="0.2">
      <c r="B58" s="833"/>
      <c r="C58" s="834"/>
      <c r="D58" s="133"/>
      <c r="E58" s="106"/>
      <c r="F58" s="106"/>
      <c r="G58" s="106">
        <v>3</v>
      </c>
      <c r="H58" s="818">
        <v>4</v>
      </c>
      <c r="I58" s="818"/>
      <c r="J58" s="568">
        <v>7</v>
      </c>
      <c r="K58" s="569">
        <f>P58*1.7%</f>
        <v>3744.0800000000004</v>
      </c>
      <c r="L58" s="106"/>
      <c r="M58" s="780" t="s">
        <v>68</v>
      </c>
      <c r="N58" s="780"/>
      <c r="O58" s="780"/>
      <c r="P58" s="771">
        <f>SUM(P56,P44,P46,P52,P50,P48,P42,P54)</f>
        <v>220240</v>
      </c>
      <c r="Q58" s="771"/>
      <c r="R58" s="771"/>
      <c r="T58" s="390" t="s">
        <v>469</v>
      </c>
      <c r="U58" s="377">
        <v>800</v>
      </c>
      <c r="V58" s="129"/>
      <c r="AA58" s="278"/>
      <c r="AD58" s="811">
        <f ca="1">SUM(AD56,AD52,AD50,AD48,AD42,AD44,AD46,AD54)</f>
        <v>214605.03576004787</v>
      </c>
      <c r="AE58" s="812"/>
      <c r="AF58" s="813"/>
      <c r="HF58" s="10"/>
      <c r="HG58" s="10"/>
      <c r="HM58" s="109"/>
      <c r="HN58" s="110"/>
      <c r="HO58" s="111"/>
      <c r="HP58" s="111"/>
      <c r="HS58" s="115">
        <f>'DADOS DOS EMPREENDIMENTOS'!A37</f>
        <v>0</v>
      </c>
      <c r="HT58" s="111">
        <f>'DADOS DOS EMPREENDIMENTOS'!B37</f>
        <v>0</v>
      </c>
      <c r="HU58" s="116">
        <f>'DADOS DOS EMPREENDIMENTOS'!C37</f>
        <v>0</v>
      </c>
      <c r="ID58" s="106"/>
      <c r="IE58" s="112"/>
      <c r="IF58" s="106"/>
    </row>
    <row r="59" spans="1:240" ht="15" hidden="1" customHeight="1" x14ac:dyDescent="0.2">
      <c r="B59" s="835"/>
      <c r="C59" s="836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8"/>
      <c r="AA59" s="278"/>
      <c r="HF59" s="10"/>
      <c r="HG59" s="10"/>
      <c r="HM59" s="109"/>
      <c r="HN59" s="110"/>
      <c r="HO59" s="111"/>
      <c r="HP59" s="111"/>
      <c r="HS59" s="115">
        <f>'DADOS DOS EMPREENDIMENTOS'!A38</f>
        <v>0</v>
      </c>
      <c r="HT59" s="111">
        <f>'DADOS DOS EMPREENDIMENTOS'!B38</f>
        <v>0</v>
      </c>
      <c r="HU59" s="116">
        <f>'DADOS DOS EMPREENDIMENTOS'!C38</f>
        <v>0</v>
      </c>
      <c r="ID59" s="106"/>
      <c r="IE59" s="112"/>
      <c r="IF59" s="106"/>
    </row>
    <row r="60" spans="1:240" ht="9.75" customHeight="1" thickBot="1" x14ac:dyDescent="0.25">
      <c r="B60" s="830"/>
      <c r="C60" s="830"/>
      <c r="D60" s="830"/>
      <c r="E60" s="830"/>
      <c r="F60" s="830"/>
      <c r="G60" s="830"/>
      <c r="H60" s="830"/>
      <c r="I60" s="830"/>
      <c r="J60" s="830"/>
      <c r="K60" s="830"/>
      <c r="L60" s="830"/>
      <c r="M60" s="830"/>
      <c r="N60" s="830"/>
      <c r="O60" s="830"/>
      <c r="P60" s="830"/>
      <c r="Q60" s="830"/>
      <c r="R60" s="830"/>
      <c r="S60" s="830"/>
      <c r="T60" s="830"/>
      <c r="U60" s="830"/>
      <c r="V60" s="830"/>
      <c r="W60" s="830"/>
      <c r="AA60" s="278"/>
      <c r="HF60" s="10"/>
      <c r="HG60" s="10"/>
      <c r="HM60" s="109"/>
      <c r="HN60" s="110"/>
      <c r="HO60" s="111"/>
      <c r="HP60" s="111"/>
      <c r="HS60" s="115">
        <f>'DADOS DOS EMPREENDIMENTOS'!A39</f>
        <v>0</v>
      </c>
      <c r="HT60" s="111">
        <f>'DADOS DOS EMPREENDIMENTOS'!B39</f>
        <v>0</v>
      </c>
      <c r="HU60" s="116">
        <f>'DADOS DOS EMPREENDIMENTOS'!C39</f>
        <v>0</v>
      </c>
      <c r="ID60" s="106"/>
      <c r="IE60" s="112"/>
      <c r="IF60" s="106"/>
    </row>
    <row r="61" spans="1:240" ht="24" customHeight="1" x14ac:dyDescent="0.2">
      <c r="B61" s="830"/>
      <c r="C61" s="830"/>
      <c r="D61" s="830"/>
      <c r="E61" s="830"/>
      <c r="F61" s="830"/>
      <c r="G61" s="830"/>
      <c r="H61" s="830"/>
      <c r="I61" s="830"/>
      <c r="J61" s="830"/>
      <c r="K61" s="830"/>
      <c r="L61" s="830"/>
      <c r="M61" s="830"/>
      <c r="N61" s="830"/>
      <c r="O61" s="830"/>
      <c r="P61" s="830"/>
      <c r="Q61" s="830"/>
      <c r="R61" s="830"/>
      <c r="S61" s="830"/>
      <c r="T61" s="830"/>
      <c r="U61" s="830"/>
      <c r="V61" s="830"/>
      <c r="W61" s="830"/>
      <c r="AA61" s="786" t="e">
        <f>CONCATENATE("Valor da parcela para zerar o PV",IF(AK117&gt;=AS117,".",""))</f>
        <v>#REF!</v>
      </c>
      <c r="HF61" s="10"/>
      <c r="HG61" s="10"/>
      <c r="HM61" s="109"/>
      <c r="HN61" s="110"/>
      <c r="HO61" s="111"/>
      <c r="HP61" s="111"/>
      <c r="HS61" s="115">
        <f>'DADOS DOS EMPREENDIMENTOS'!A40</f>
        <v>0</v>
      </c>
      <c r="HT61" s="111">
        <f>'DADOS DOS EMPREENDIMENTOS'!B40</f>
        <v>0</v>
      </c>
      <c r="HU61" s="116">
        <f>'DADOS DOS EMPREENDIMENTOS'!C40</f>
        <v>0</v>
      </c>
      <c r="ID61" s="106"/>
      <c r="IE61" s="112"/>
      <c r="IF61" s="106"/>
    </row>
    <row r="62" spans="1:240" ht="15" customHeight="1" x14ac:dyDescent="0.2">
      <c r="A62" s="139"/>
      <c r="B62" s="820" t="s">
        <v>470</v>
      </c>
      <c r="C62" s="821"/>
      <c r="D62" s="140"/>
      <c r="E62" s="781" t="s">
        <v>186</v>
      </c>
      <c r="F62" s="781"/>
      <c r="G62" s="781" t="s">
        <v>188</v>
      </c>
      <c r="H62" s="781"/>
      <c r="I62" s="781"/>
      <c r="J62" s="781"/>
      <c r="K62" s="781" t="s">
        <v>194</v>
      </c>
      <c r="L62" s="781"/>
      <c r="M62" s="781" t="s">
        <v>187</v>
      </c>
      <c r="N62" s="781"/>
      <c r="O62" s="781"/>
      <c r="P62" s="781" t="s">
        <v>68</v>
      </c>
      <c r="Q62" s="781"/>
      <c r="R62" s="781"/>
      <c r="S62" s="126"/>
      <c r="T62" s="126"/>
      <c r="U62" s="126"/>
      <c r="V62" s="127"/>
      <c r="AA62" s="787"/>
      <c r="HF62" s="10"/>
      <c r="HG62" s="10"/>
      <c r="HM62" s="109"/>
      <c r="HN62" s="110"/>
      <c r="HO62" s="111"/>
      <c r="HP62" s="111"/>
      <c r="HS62" s="115">
        <f>'DADOS DOS EMPREENDIMENTOS'!A41</f>
        <v>0</v>
      </c>
      <c r="HT62" s="111">
        <f>'DADOS DOS EMPREENDIMENTOS'!B41</f>
        <v>0</v>
      </c>
      <c r="HU62" s="116">
        <f>'DADOS DOS EMPREENDIMENTOS'!C41</f>
        <v>0</v>
      </c>
      <c r="ID62" s="106"/>
      <c r="IE62" s="112"/>
      <c r="IF62" s="106"/>
    </row>
    <row r="63" spans="1:240" ht="25.5" customHeight="1" thickBot="1" x14ac:dyDescent="0.25">
      <c r="A63" s="139"/>
      <c r="B63" s="822"/>
      <c r="C63" s="823"/>
      <c r="D63" s="141"/>
      <c r="E63" s="782"/>
      <c r="F63" s="782"/>
      <c r="G63" s="782"/>
      <c r="H63" s="782"/>
      <c r="I63" s="782"/>
      <c r="J63" s="782"/>
      <c r="K63" s="782" t="s">
        <v>194</v>
      </c>
      <c r="L63" s="782"/>
      <c r="M63" s="782"/>
      <c r="N63" s="782"/>
      <c r="O63" s="782"/>
      <c r="P63" s="782"/>
      <c r="Q63" s="782"/>
      <c r="R63" s="782"/>
      <c r="V63" s="129"/>
      <c r="AA63" s="788"/>
      <c r="AG63" s="977" t="s">
        <v>189</v>
      </c>
      <c r="AH63" s="776"/>
      <c r="AI63" s="978"/>
      <c r="HF63" s="10"/>
      <c r="HG63" s="10"/>
      <c r="HM63" s="109"/>
      <c r="HN63" s="110"/>
      <c r="HO63" s="111"/>
      <c r="HP63" s="111"/>
      <c r="HS63" s="115">
        <f>'DADOS DOS EMPREENDIMENTOS'!A42</f>
        <v>0</v>
      </c>
      <c r="HT63" s="111">
        <f>'DADOS DOS EMPREENDIMENTOS'!B42</f>
        <v>0</v>
      </c>
      <c r="HU63" s="116">
        <f>'DADOS DOS EMPREENDIMENTOS'!C42</f>
        <v>0</v>
      </c>
      <c r="ID63" s="106"/>
      <c r="IE63" s="112"/>
      <c r="IF63" s="106"/>
    </row>
    <row r="64" spans="1:240" ht="38.25" customHeight="1" thickBot="1" x14ac:dyDescent="0.25">
      <c r="A64" s="139" t="e">
        <f>VLOOKUP(D64,$GZ$39:$HA$48,2,FALSE)</f>
        <v>#N/A</v>
      </c>
      <c r="B64" s="822"/>
      <c r="C64" s="823"/>
      <c r="D64" s="714" t="s">
        <v>52</v>
      </c>
      <c r="E64" s="803">
        <v>1</v>
      </c>
      <c r="F64" s="804"/>
      <c r="G64" s="765">
        <v>2000</v>
      </c>
      <c r="H64" s="765"/>
      <c r="I64" s="765"/>
      <c r="J64" s="765"/>
      <c r="K64" s="783">
        <v>0</v>
      </c>
      <c r="L64" s="784"/>
      <c r="M64" s="777">
        <f ca="1">IF(I12&lt;43374,43374,I12)</f>
        <v>43802</v>
      </c>
      <c r="N64" s="778"/>
      <c r="O64" s="779"/>
      <c r="P64" s="762">
        <f>E64*G64</f>
        <v>2000</v>
      </c>
      <c r="Q64" s="763"/>
      <c r="R64" s="764"/>
      <c r="S64" s="849" t="str">
        <f>IF((P64+P66+P70)&lt;$U$58,"Entrada Menor que de Tabela",IF(E64&lt;&gt;0,IF(P64&lt;$U$58,CONCATENATE("1ª parcela do ato insuficiente, mínimo de R$ ",$U$58," 
nessa parcela."),IF(E64&gt;J42,CONCATENATE("Parcela no máximo em ",J42," vez"),"OK")),"Informar Entrada"))</f>
        <v>OK</v>
      </c>
      <c r="T64" s="849"/>
      <c r="U64" s="849"/>
      <c r="V64" s="129"/>
      <c r="AA64" s="622">
        <f ca="1">IF('Proposta 1 Via'!P41&gt;0,'Proposta 1 Via'!P41,0)</f>
        <v>1999.9999999999716</v>
      </c>
      <c r="AG64" s="902">
        <f ca="1">'Proposta 1 Via'!M41</f>
        <v>2000</v>
      </c>
      <c r="AH64" s="755"/>
      <c r="AI64" s="903"/>
      <c r="HF64" s="10"/>
      <c r="HG64" s="10"/>
      <c r="HM64" s="109"/>
      <c r="HN64" s="110"/>
      <c r="HO64" s="111"/>
      <c r="HP64" s="111"/>
      <c r="ID64" s="106"/>
      <c r="IE64" s="112"/>
      <c r="IF64" s="106"/>
    </row>
    <row r="65" spans="1:253" ht="15" customHeight="1" thickBot="1" x14ac:dyDescent="0.25">
      <c r="A65" s="139"/>
      <c r="B65" s="822"/>
      <c r="C65" s="823"/>
      <c r="D65" s="142"/>
      <c r="E65" s="710"/>
      <c r="F65" s="710"/>
      <c r="G65" s="710"/>
      <c r="H65" s="706"/>
      <c r="I65" s="706"/>
      <c r="J65" s="706"/>
      <c r="K65" s="143"/>
      <c r="L65" s="143"/>
      <c r="M65" s="617"/>
      <c r="N65" s="711"/>
      <c r="O65" s="106"/>
      <c r="P65" s="706"/>
      <c r="Q65" s="706"/>
      <c r="R65" s="106"/>
      <c r="T65" s="144"/>
      <c r="U65" s="134"/>
      <c r="V65" s="129"/>
      <c r="AA65" s="145"/>
      <c r="AG65" s="705"/>
      <c r="AH65" s="706"/>
      <c r="AI65" s="131"/>
      <c r="HF65" s="10">
        <v>24</v>
      </c>
      <c r="HG65" s="10"/>
      <c r="HM65" s="109"/>
      <c r="HN65" s="110"/>
      <c r="HO65" s="111"/>
      <c r="HP65" s="111"/>
      <c r="ID65" s="106"/>
      <c r="IE65" s="112"/>
      <c r="IF65" s="106"/>
    </row>
    <row r="66" spans="1:253" ht="38.25" customHeight="1" thickBot="1" x14ac:dyDescent="0.25">
      <c r="A66" s="139" t="e">
        <f>VLOOKUP(D70,$GZ$39:$HA$48,2,FALSE)</f>
        <v>#N/A</v>
      </c>
      <c r="B66" s="822"/>
      <c r="C66" s="823"/>
      <c r="D66" s="714" t="s">
        <v>457</v>
      </c>
      <c r="E66" s="803">
        <v>1</v>
      </c>
      <c r="F66" s="804"/>
      <c r="G66" s="765">
        <v>1000</v>
      </c>
      <c r="H66" s="765"/>
      <c r="I66" s="765"/>
      <c r="J66" s="765"/>
      <c r="K66" s="783">
        <v>1</v>
      </c>
      <c r="L66" s="784"/>
      <c r="M66" s="777">
        <f ca="1">DATE(YEAR(M64),MONTH(M64)+(K66-K64),1)</f>
        <v>43831</v>
      </c>
      <c r="N66" s="778"/>
      <c r="O66" s="779"/>
      <c r="P66" s="762">
        <f>E66*G66</f>
        <v>1000</v>
      </c>
      <c r="Q66" s="763"/>
      <c r="R66" s="764"/>
      <c r="S66" s="849" t="str">
        <f>IF((P64+P66+P70)&lt;$U$58,"Entrada Menor que de Tabela",IF(E66&lt;&gt;0,IF(P66&lt;$U$58,CONCATENATE("parcela de entrada insuficiente, mínimo de R$ ",$U$58," 
nessa parcela."),IF(E66&gt;J44, CONCATENATE("Parcela no máximo em ",J44," vez"),"OK")),"Informar Entrada"))</f>
        <v>OK</v>
      </c>
      <c r="T66" s="849"/>
      <c r="U66" s="849"/>
      <c r="V66" s="129"/>
      <c r="AA66" s="622">
        <f ca="1">IF('Proposta 1 Via'!P42&gt;0,'Proposta 1 Via'!P42,0)</f>
        <v>999.99999999997101</v>
      </c>
      <c r="AG66" s="902">
        <f ca="1">'Proposta 1 Via'!M42</f>
        <v>992.84425048419303</v>
      </c>
      <c r="AH66" s="755"/>
      <c r="AI66" s="903"/>
      <c r="HF66" s="10"/>
      <c r="HG66" s="10"/>
      <c r="HM66" s="109"/>
      <c r="HN66" s="110"/>
      <c r="HO66" s="111"/>
      <c r="HP66" s="111"/>
      <c r="ID66" s="106"/>
      <c r="IE66" s="112"/>
      <c r="IF66" s="106"/>
    </row>
    <row r="67" spans="1:253" ht="15" customHeight="1" thickBot="1" x14ac:dyDescent="0.25">
      <c r="A67" s="139"/>
      <c r="B67" s="822"/>
      <c r="C67" s="823"/>
      <c r="D67" s="142"/>
      <c r="E67" s="710"/>
      <c r="F67" s="710"/>
      <c r="G67" s="710"/>
      <c r="H67" s="706"/>
      <c r="I67" s="706"/>
      <c r="J67" s="706"/>
      <c r="K67" s="143"/>
      <c r="L67" s="143"/>
      <c r="M67" s="711"/>
      <c r="N67" s="711"/>
      <c r="O67" s="106"/>
      <c r="P67" s="706"/>
      <c r="Q67" s="706"/>
      <c r="R67" s="106"/>
      <c r="T67" s="144"/>
      <c r="U67" s="134"/>
      <c r="V67" s="129"/>
      <c r="AA67" s="145"/>
      <c r="AG67" s="705"/>
      <c r="AH67" s="706"/>
      <c r="AI67" s="131"/>
      <c r="HF67" s="10"/>
      <c r="HG67" s="10"/>
      <c r="HM67" s="109"/>
      <c r="HN67" s="110"/>
      <c r="HO67" s="111"/>
      <c r="HP67" s="111"/>
      <c r="ID67" s="106"/>
      <c r="IE67" s="112"/>
      <c r="IF67" s="106"/>
    </row>
    <row r="68" spans="1:253" ht="26.25" hidden="1" customHeight="1" thickBot="1" x14ac:dyDescent="0.25">
      <c r="A68" s="139">
        <f>VLOOKUP(D74,$GZ$39:$HA$48,2,FALSE)</f>
        <v>1</v>
      </c>
      <c r="B68" s="822"/>
      <c r="C68" s="823"/>
      <c r="D68" s="714" t="s">
        <v>184</v>
      </c>
      <c r="E68" s="803">
        <v>0</v>
      </c>
      <c r="F68" s="804"/>
      <c r="G68" s="1027">
        <v>0</v>
      </c>
      <c r="H68" s="1027"/>
      <c r="I68" s="1027"/>
      <c r="J68" s="1027"/>
      <c r="K68" s="783">
        <v>2</v>
      </c>
      <c r="L68" s="784"/>
      <c r="M68" s="777">
        <f ca="1">DATE(YEAR(M64),MONTH(M64)+(K68-K64),1)</f>
        <v>43862</v>
      </c>
      <c r="N68" s="778"/>
      <c r="O68" s="779"/>
      <c r="P68" s="762">
        <f>E68*G68</f>
        <v>0</v>
      </c>
      <c r="Q68" s="763"/>
      <c r="R68" s="764"/>
      <c r="S68" s="849" t="str">
        <f>IF(E68&lt;&gt;0,IF(P68&lt;'Simulador CEF'!U47,CONCATENATE("parcela de entrada insuficiente, mínimo de R$ ",'Simulador CEF'!U47," 
nessa parcela."),IF(E68&gt;J46, CONCATENATE("Parcela no máximo em ",J46," vez"),"OK")),"Informar Entrada")</f>
        <v>Informar Entrada</v>
      </c>
      <c r="T68" s="849"/>
      <c r="U68" s="849"/>
      <c r="V68" s="129"/>
      <c r="AA68" s="622">
        <f>IF('Proposta 1 Via'!P43&gt;0,'Proposta 1 Via'!P43,0)</f>
        <v>0</v>
      </c>
      <c r="AG68" s="902">
        <f>'Proposta 1 Via'!M43</f>
        <v>0</v>
      </c>
      <c r="AH68" s="755"/>
      <c r="AI68" s="903"/>
      <c r="HF68" s="10"/>
      <c r="HG68" s="10"/>
      <c r="HM68" s="109"/>
      <c r="HN68" s="110"/>
      <c r="HO68" s="111"/>
      <c r="HP68" s="111"/>
      <c r="ID68" s="106"/>
      <c r="IE68" s="112"/>
      <c r="IF68" s="106"/>
    </row>
    <row r="69" spans="1:253" ht="21" hidden="1" customHeight="1" thickBot="1" x14ac:dyDescent="0.25">
      <c r="A69" s="139"/>
      <c r="B69" s="822"/>
      <c r="C69" s="823"/>
      <c r="D69" s="142"/>
      <c r="E69" s="710"/>
      <c r="F69" s="710"/>
      <c r="G69" s="710"/>
      <c r="H69" s="706"/>
      <c r="I69" s="706"/>
      <c r="J69" s="706"/>
      <c r="K69" s="143"/>
      <c r="L69" s="143"/>
      <c r="M69" s="711"/>
      <c r="N69" s="711"/>
      <c r="O69" s="106"/>
      <c r="P69" s="706"/>
      <c r="Q69" s="706"/>
      <c r="R69" s="106"/>
      <c r="T69" s="144"/>
      <c r="U69" s="134"/>
      <c r="V69" s="129"/>
      <c r="AA69" s="145"/>
      <c r="AG69" s="705"/>
      <c r="AH69" s="706"/>
      <c r="AI69" s="131"/>
      <c r="HF69" s="10"/>
      <c r="HG69" s="10"/>
      <c r="HM69" s="109"/>
      <c r="HN69" s="110"/>
      <c r="HO69" s="111"/>
      <c r="HP69" s="111"/>
      <c r="ID69" s="106"/>
      <c r="IE69" s="112"/>
      <c r="IF69" s="106"/>
    </row>
    <row r="70" spans="1:253" s="390" customFormat="1" ht="38.25" customHeight="1" thickBot="1" x14ac:dyDescent="0.25">
      <c r="A70" s="390">
        <f>VLOOKUP(D76,$GZ$39:$HA$48,2,FALSE)</f>
        <v>1</v>
      </c>
      <c r="B70" s="822"/>
      <c r="C70" s="823"/>
      <c r="D70" s="714" t="s">
        <v>476</v>
      </c>
      <c r="E70" s="803">
        <v>1</v>
      </c>
      <c r="F70" s="804"/>
      <c r="G70" s="765">
        <v>1000</v>
      </c>
      <c r="H70" s="765"/>
      <c r="I70" s="765"/>
      <c r="J70" s="765"/>
      <c r="K70" s="783">
        <v>2</v>
      </c>
      <c r="L70" s="784"/>
      <c r="M70" s="777">
        <f ca="1">DATE(YEAR(M64),MONTH(M64)+(K70-K64),1)</f>
        <v>43862</v>
      </c>
      <c r="N70" s="778"/>
      <c r="O70" s="779"/>
      <c r="P70" s="762">
        <f>E70*G70</f>
        <v>1000</v>
      </c>
      <c r="Q70" s="763"/>
      <c r="R70" s="764"/>
      <c r="S70" s="849" t="str">
        <f>IF((P64+P66+P70)&lt;$U$58,"Entrada Menor que de Tabela",IF(E70&lt;&gt;0,IF(P70&lt;$U$58,CONCATENATE("parcela de entrada insuficiente, mínimo de R$ ",$U$58," 
nessa parcela."),IF(E70&gt;G58,CONCATENATE("Parcela no máximo em ",G58," vezes"),"OK")),"Informar Entrada"))</f>
        <v>OK</v>
      </c>
      <c r="T70" s="849"/>
      <c r="U70" s="849"/>
      <c r="V70" s="584"/>
      <c r="AA70" s="623">
        <f ca="1">IF('Proposta 1 Via'!P44&gt;0,'Proposta 1 Via'!P44,0)</f>
        <v>999.99999999997078</v>
      </c>
      <c r="AG70" s="902">
        <f ca="1">'Proposta 1 Via'!M44</f>
        <v>985.73970571951907</v>
      </c>
      <c r="AH70" s="755"/>
      <c r="AI70" s="903"/>
      <c r="HF70" s="381"/>
      <c r="HG70" s="381"/>
      <c r="HM70" s="585"/>
      <c r="HN70" s="586"/>
      <c r="HO70" s="587"/>
      <c r="HP70" s="587"/>
      <c r="ID70" s="588"/>
      <c r="IE70" s="589"/>
      <c r="IF70" s="588"/>
      <c r="IP70" s="590"/>
    </row>
    <row r="71" spans="1:253" s="390" customFormat="1" ht="12" customHeight="1" x14ac:dyDescent="0.2">
      <c r="B71" s="822"/>
      <c r="C71" s="823"/>
      <c r="D71" s="714"/>
      <c r="E71" s="372"/>
      <c r="F71" s="372"/>
      <c r="G71" s="374"/>
      <c r="H71" s="374"/>
      <c r="I71" s="374"/>
      <c r="J71" s="374"/>
      <c r="K71" s="722"/>
      <c r="L71" s="722"/>
      <c r="M71" s="373"/>
      <c r="N71" s="373"/>
      <c r="O71" s="373"/>
      <c r="P71" s="374"/>
      <c r="Q71" s="374"/>
      <c r="R71" s="374"/>
      <c r="S71" s="723"/>
      <c r="T71" s="723"/>
      <c r="U71" s="723"/>
      <c r="V71" s="584"/>
      <c r="AA71" s="721"/>
      <c r="AG71" s="369"/>
      <c r="AH71" s="368"/>
      <c r="AI71" s="370"/>
      <c r="HF71" s="381"/>
      <c r="HG71" s="381"/>
      <c r="HM71" s="585"/>
      <c r="HN71" s="586"/>
      <c r="HO71" s="587"/>
      <c r="HP71" s="587"/>
      <c r="ID71" s="588"/>
      <c r="IE71" s="589"/>
      <c r="IF71" s="588"/>
      <c r="IP71" s="590"/>
    </row>
    <row r="72" spans="1:253" s="390" customFormat="1" ht="38.25" customHeight="1" x14ac:dyDescent="0.2">
      <c r="B72" s="822"/>
      <c r="C72" s="823"/>
      <c r="D72" s="714" t="s">
        <v>477</v>
      </c>
      <c r="E72" s="803">
        <v>2</v>
      </c>
      <c r="F72" s="804"/>
      <c r="G72" s="765">
        <v>1000</v>
      </c>
      <c r="H72" s="765"/>
      <c r="I72" s="765"/>
      <c r="J72" s="765"/>
      <c r="K72" s="783">
        <v>3</v>
      </c>
      <c r="L72" s="784"/>
      <c r="M72" s="777">
        <f ca="1">DATE(YEAR(M64),MONTH(M64)+(K72-K64),1)</f>
        <v>43891</v>
      </c>
      <c r="N72" s="778"/>
      <c r="O72" s="779"/>
      <c r="P72" s="762">
        <f>E72*G72</f>
        <v>2000</v>
      </c>
      <c r="Q72" s="763"/>
      <c r="R72" s="764"/>
      <c r="S72" s="723"/>
      <c r="T72" s="723"/>
      <c r="U72" s="723"/>
      <c r="V72" s="584"/>
      <c r="AA72" s="721"/>
      <c r="AG72" s="369"/>
      <c r="AH72" s="368"/>
      <c r="AI72" s="370"/>
      <c r="HF72" s="381"/>
      <c r="HG72" s="381"/>
      <c r="HM72" s="585"/>
      <c r="HN72" s="586"/>
      <c r="HO72" s="587"/>
      <c r="HP72" s="587"/>
      <c r="ID72" s="588"/>
      <c r="IE72" s="589"/>
      <c r="IF72" s="588"/>
      <c r="IP72" s="590"/>
    </row>
    <row r="73" spans="1:253" ht="14.25" customHeight="1" thickBot="1" x14ac:dyDescent="0.25">
      <c r="A73" s="139"/>
      <c r="B73" s="822"/>
      <c r="C73" s="823"/>
      <c r="D73" s="142"/>
      <c r="E73" s="710"/>
      <c r="F73" s="710"/>
      <c r="G73" s="710"/>
      <c r="H73" s="706"/>
      <c r="I73" s="706"/>
      <c r="J73" s="706"/>
      <c r="K73" s="143"/>
      <c r="L73" s="143"/>
      <c r="M73" s="711"/>
      <c r="N73" s="711"/>
      <c r="O73" s="106"/>
      <c r="P73" s="706"/>
      <c r="Q73" s="706"/>
      <c r="R73" s="106"/>
      <c r="T73" s="144"/>
      <c r="U73" s="134"/>
      <c r="V73" s="129"/>
      <c r="AA73" s="145"/>
      <c r="AD73" s="392" t="s">
        <v>280</v>
      </c>
      <c r="AE73" s="393"/>
      <c r="AG73" s="705"/>
      <c r="AH73" s="706"/>
      <c r="AI73" s="131"/>
      <c r="HF73" s="10"/>
      <c r="HG73" s="10"/>
      <c r="HM73" s="109"/>
      <c r="HN73" s="110"/>
      <c r="HO73" s="111"/>
      <c r="HP73" s="111"/>
      <c r="ID73" s="106"/>
      <c r="IE73" s="112"/>
      <c r="IF73" s="106"/>
    </row>
    <row r="74" spans="1:253" s="542" customFormat="1" ht="41.25" hidden="1" customHeight="1" thickBot="1" x14ac:dyDescent="0.25">
      <c r="A74" s="542" t="e">
        <f>VLOOKUP(D83,$GZ$39:$HA$48,2,FALSE)</f>
        <v>#N/A</v>
      </c>
      <c r="B74" s="822"/>
      <c r="C74" s="823"/>
      <c r="D74" s="580" t="s">
        <v>45</v>
      </c>
      <c r="E74" s="826">
        <v>1</v>
      </c>
      <c r="F74" s="826"/>
      <c r="G74" s="827">
        <v>0</v>
      </c>
      <c r="H74" s="828"/>
      <c r="I74" s="828"/>
      <c r="J74" s="829"/>
      <c r="K74" s="805">
        <f>+E50</f>
        <v>0</v>
      </c>
      <c r="L74" s="806"/>
      <c r="M74" s="770">
        <f ca="1">DATE(YEAR(M66),MONTH(M66)+(K74-K66),DAY(M66))</f>
        <v>43800</v>
      </c>
      <c r="N74" s="770"/>
      <c r="O74" s="770"/>
      <c r="P74" s="1036">
        <f>G74*E74</f>
        <v>0</v>
      </c>
      <c r="Q74" s="1036"/>
      <c r="R74" s="1036"/>
      <c r="S74" s="852" t="str">
        <f>IF(E74&lt;&gt;0,IF(G74&gt;'Simulador CEF'!N37,CONCATENATE("valor excedente, máximo de R$ ",'Simulador CEF'!N37," 
por parcela."),IF(E74&gt;J50, CONCATENATE("Parcele no máximo em ",J50," vezes"),"OK")),"Informar Entrada")</f>
        <v>Parcele no máximo em 0 vezes</v>
      </c>
      <c r="T74" s="853"/>
      <c r="U74" s="853"/>
      <c r="V74" s="557"/>
      <c r="AA74" s="582">
        <f ca="1">IF('Proposta 1 Via'!P45&gt;0,'Proposta 1 Via'!P45,0)</f>
        <v>0</v>
      </c>
      <c r="AC74" s="542" t="s">
        <v>277</v>
      </c>
      <c r="AD74" s="595">
        <f>+P74/S6</f>
        <v>0</v>
      </c>
      <c r="AE74" s="596"/>
      <c r="AG74" s="979">
        <f ca="1">'Proposta 1 Via'!M45</f>
        <v>0</v>
      </c>
      <c r="AH74" s="980"/>
      <c r="AI74" s="981"/>
      <c r="HF74" s="558"/>
      <c r="HG74" s="558"/>
      <c r="HM74" s="559"/>
      <c r="HN74" s="560"/>
      <c r="HO74" s="561"/>
      <c r="HP74" s="561"/>
      <c r="ID74" s="524"/>
      <c r="IE74" s="562"/>
      <c r="IF74" s="524"/>
      <c r="IP74" s="563"/>
    </row>
    <row r="75" spans="1:253" ht="15" hidden="1" customHeight="1" thickBot="1" x14ac:dyDescent="0.25">
      <c r="A75" s="139"/>
      <c r="B75" s="822"/>
      <c r="C75" s="823"/>
      <c r="D75" s="714"/>
      <c r="E75" s="710"/>
      <c r="F75" s="710"/>
      <c r="G75" s="710"/>
      <c r="H75" s="706"/>
      <c r="I75" s="706"/>
      <c r="J75" s="706"/>
      <c r="K75" s="143"/>
      <c r="L75" s="143"/>
      <c r="M75" s="711"/>
      <c r="N75" s="711"/>
      <c r="O75" s="106"/>
      <c r="P75" s="706"/>
      <c r="Q75" s="706"/>
      <c r="R75" s="106"/>
      <c r="T75" s="144"/>
      <c r="U75" s="134"/>
      <c r="V75" s="129"/>
      <c r="AA75" s="145"/>
      <c r="AC75" s="89" t="s">
        <v>276</v>
      </c>
      <c r="AG75" s="705"/>
      <c r="AH75" s="706"/>
      <c r="AI75" s="131"/>
      <c r="HF75" s="10"/>
      <c r="HG75" s="10"/>
      <c r="HM75" s="109"/>
      <c r="HN75" s="110"/>
      <c r="HO75" s="111"/>
      <c r="HP75" s="111"/>
      <c r="ID75" s="106"/>
      <c r="IE75" s="112"/>
      <c r="IF75" s="106"/>
    </row>
    <row r="76" spans="1:253" ht="51.75" customHeight="1" thickBot="1" x14ac:dyDescent="0.25">
      <c r="A76" s="139" t="e">
        <f>VLOOKUP(#REF!,$GZ$39:$HA$48,2,FALSE)</f>
        <v>#REF!</v>
      </c>
      <c r="B76" s="822"/>
      <c r="C76" s="823"/>
      <c r="D76" s="714" t="s">
        <v>45</v>
      </c>
      <c r="E76" s="796">
        <f>fluxos!C9</f>
        <v>8</v>
      </c>
      <c r="F76" s="797"/>
      <c r="G76" s="850">
        <v>1300</v>
      </c>
      <c r="H76" s="765"/>
      <c r="I76" s="765"/>
      <c r="J76" s="851"/>
      <c r="K76" s="796">
        <v>4</v>
      </c>
      <c r="L76" s="1063"/>
      <c r="M76" s="793">
        <f ca="1">DATE(YEAR(M74),MONTH(M74)+(K76-K74),1)</f>
        <v>43922</v>
      </c>
      <c r="N76" s="794"/>
      <c r="O76" s="795"/>
      <c r="P76" s="762">
        <f>E76*G76</f>
        <v>10400</v>
      </c>
      <c r="Q76" s="763"/>
      <c r="R76" s="764"/>
      <c r="S76" s="761" t="str">
        <f ca="1">IF(K96&gt;39,"Verificar Qtd. de Parcelas - Última deve ser em Abril/20",IF(E76&lt;&gt;0,IF(G76&gt;'Simulador CEF'!N37,CONCATENATE("valor excedente, máximo de R$ ",'Simulador CEF'!N37," 
por parcela."),IF(E76&gt;J52,CONCATENATE("Parcele no máximo em ",J52," vezes"),"OK")),"Informar Entrada"))</f>
        <v>OK</v>
      </c>
      <c r="T76" s="761"/>
      <c r="U76" s="761"/>
      <c r="V76" s="129"/>
      <c r="AA76" s="622">
        <f ca="1">IF('Proposta 1 Via'!P46&gt;0,'Proposta 1 Via'!P46,0)</f>
        <v>1299.9999999999839</v>
      </c>
      <c r="AG76" s="902">
        <f ca="1">'Proposta 1 Via'!M46</f>
        <v>9855.9972015643198</v>
      </c>
      <c r="AH76" s="755"/>
      <c r="AI76" s="903"/>
      <c r="HF76" s="10">
        <v>25</v>
      </c>
      <c r="HG76" s="10"/>
      <c r="HM76" s="109"/>
      <c r="HN76" s="110"/>
      <c r="HO76" s="111"/>
      <c r="HP76" s="111"/>
      <c r="ID76" s="106"/>
      <c r="IE76" s="112"/>
      <c r="IF76" s="106"/>
      <c r="IQ76" s="146" t="s">
        <v>125</v>
      </c>
      <c r="IR76" s="146" t="s">
        <v>126</v>
      </c>
    </row>
    <row r="77" spans="1:253" s="356" customFormat="1" ht="51.75" customHeight="1" x14ac:dyDescent="0.2">
      <c r="A77" s="678"/>
      <c r="B77" s="822"/>
      <c r="C77" s="823"/>
      <c r="D77" s="729"/>
      <c r="E77" s="730"/>
      <c r="F77" s="730"/>
      <c r="G77" s="800">
        <f>P77/E76</f>
        <v>1625</v>
      </c>
      <c r="H77" s="801"/>
      <c r="I77" s="801"/>
      <c r="J77" s="802"/>
      <c r="K77" s="730"/>
      <c r="L77" s="730"/>
      <c r="M77" s="798"/>
      <c r="N77" s="798"/>
      <c r="O77" s="799"/>
      <c r="P77" s="762">
        <f>S34+P76</f>
        <v>13000</v>
      </c>
      <c r="Q77" s="763"/>
      <c r="R77" s="764"/>
      <c r="S77" s="679"/>
      <c r="T77" s="679"/>
      <c r="U77" s="679"/>
      <c r="V77" s="355"/>
      <c r="AA77" s="680"/>
      <c r="AG77" s="681"/>
      <c r="AH77" s="374"/>
      <c r="AI77" s="682"/>
      <c r="HF77" s="403"/>
      <c r="HG77" s="403"/>
      <c r="HM77" s="683"/>
      <c r="HN77" s="684"/>
      <c r="HO77" s="404"/>
      <c r="HP77" s="404"/>
      <c r="ID77" s="148"/>
      <c r="IE77" s="685"/>
      <c r="IF77" s="148"/>
      <c r="IP77" s="408"/>
      <c r="IQ77" s="686"/>
      <c r="IR77" s="686"/>
      <c r="IS77" s="687"/>
    </row>
    <row r="78" spans="1:253" s="542" customFormat="1" ht="15" customHeight="1" thickBot="1" x14ac:dyDescent="0.25">
      <c r="B78" s="822"/>
      <c r="C78" s="823"/>
      <c r="D78" s="580"/>
      <c r="E78" s="520"/>
      <c r="F78" s="520"/>
      <c r="G78" s="520"/>
      <c r="H78" s="521"/>
      <c r="I78" s="521"/>
      <c r="J78" s="521"/>
      <c r="K78" s="522"/>
      <c r="L78" s="522"/>
      <c r="M78" s="523"/>
      <c r="N78" s="523"/>
      <c r="O78" s="524"/>
      <c r="P78" s="521"/>
      <c r="Q78" s="521"/>
      <c r="R78" s="524"/>
      <c r="S78" s="650"/>
      <c r="T78" s="564"/>
      <c r="U78" s="565"/>
      <c r="V78" s="557"/>
      <c r="AA78" s="581"/>
      <c r="AC78" s="542" t="s">
        <v>276</v>
      </c>
      <c r="AG78" s="566"/>
      <c r="AH78" s="521"/>
      <c r="AI78" s="567"/>
      <c r="HF78" s="558"/>
      <c r="HG78" s="558"/>
      <c r="HM78" s="559"/>
      <c r="HN78" s="560"/>
      <c r="HO78" s="561"/>
      <c r="HP78" s="561"/>
      <c r="ID78" s="524"/>
      <c r="IE78" s="562"/>
      <c r="IF78" s="524"/>
      <c r="IP78" s="563"/>
    </row>
    <row r="79" spans="1:253" s="390" customFormat="1" ht="33.75" customHeight="1" thickBot="1" x14ac:dyDescent="0.25">
      <c r="A79" s="591" t="e">
        <f>VLOOKUP(#REF!,$GZ$39:$HA$48,2,FALSE)</f>
        <v>#REF!</v>
      </c>
      <c r="B79" s="822"/>
      <c r="C79" s="823"/>
      <c r="D79" s="714" t="s">
        <v>35</v>
      </c>
      <c r="E79" s="796">
        <v>1</v>
      </c>
      <c r="F79" s="797"/>
      <c r="G79" s="765">
        <v>5000</v>
      </c>
      <c r="H79" s="765"/>
      <c r="I79" s="765"/>
      <c r="J79" s="765"/>
      <c r="K79" s="783">
        <f ca="1">(YEAR(M79)-YEAR(M64))*12+MONTH(M79)-MONTH(M64)</f>
        <v>8</v>
      </c>
      <c r="L79" s="784"/>
      <c r="M79" s="1060">
        <v>44044</v>
      </c>
      <c r="N79" s="1061"/>
      <c r="O79" s="1062"/>
      <c r="P79" s="762">
        <f>G79*E79</f>
        <v>5000</v>
      </c>
      <c r="Q79" s="763"/>
      <c r="R79" s="764"/>
      <c r="S79" s="982" t="str">
        <f>IF(E79&lt;&gt;0,IF(G79&gt;'Simulador CEF'!F22,CONCATENATE("valor excedente, máximo de R$ ",'Simulador CEF'!F22," 
por parcela."),IF(E79&gt;J48,CONCATENATE("Parcele no máximo até"," nov/2020"),"OK")),"Informar Entrada")</f>
        <v>OK</v>
      </c>
      <c r="T79" s="982"/>
      <c r="U79" s="982"/>
      <c r="V79" s="584"/>
      <c r="AA79" s="623">
        <f ca="1">IF('Proposta 1 Via'!P48&gt;0,'Proposta 1 Via'!P48,0)</f>
        <v>4999.9999999999727</v>
      </c>
      <c r="AG79" s="902">
        <f ca="1">'Proposta 1 Via'!M48</f>
        <v>4720.8370026215944</v>
      </c>
      <c r="AH79" s="755"/>
      <c r="AI79" s="903"/>
      <c r="HF79" s="381">
        <v>25</v>
      </c>
      <c r="HG79" s="381"/>
      <c r="HM79" s="585"/>
      <c r="HN79" s="586"/>
      <c r="HO79" s="587"/>
      <c r="HP79" s="587"/>
      <c r="ID79" s="588"/>
      <c r="IE79" s="589"/>
      <c r="IF79" s="588"/>
      <c r="IP79" s="590"/>
      <c r="IQ79" s="390" t="s">
        <v>125</v>
      </c>
      <c r="IR79" s="390" t="s">
        <v>126</v>
      </c>
    </row>
    <row r="80" spans="1:253" s="542" customFormat="1" ht="15" customHeight="1" x14ac:dyDescent="0.2">
      <c r="B80" s="822"/>
      <c r="C80" s="823"/>
      <c r="D80" s="580"/>
      <c r="E80" s="520"/>
      <c r="F80" s="520"/>
      <c r="G80" s="520"/>
      <c r="H80" s="521"/>
      <c r="I80" s="521"/>
      <c r="J80" s="521"/>
      <c r="K80" s="522"/>
      <c r="L80" s="522"/>
      <c r="M80" s="523"/>
      <c r="N80" s="523"/>
      <c r="O80" s="524"/>
      <c r="P80" s="521"/>
      <c r="Q80" s="521"/>
      <c r="R80" s="524"/>
      <c r="T80" s="564"/>
      <c r="U80" s="565"/>
      <c r="V80" s="557"/>
      <c r="AA80" s="581"/>
      <c r="AC80" s="542" t="s">
        <v>276</v>
      </c>
      <c r="AG80" s="566"/>
      <c r="AH80" s="521"/>
      <c r="AI80" s="567"/>
      <c r="HF80" s="558"/>
      <c r="HG80" s="558"/>
      <c r="HM80" s="559"/>
      <c r="HN80" s="560"/>
      <c r="HO80" s="561"/>
      <c r="HP80" s="561"/>
      <c r="ID80" s="524"/>
      <c r="IE80" s="562"/>
      <c r="IF80" s="524"/>
      <c r="IP80" s="563"/>
    </row>
    <row r="81" spans="1:257" s="542" customFormat="1" ht="33.75" hidden="1" customHeight="1" thickBot="1" x14ac:dyDescent="0.25">
      <c r="A81" s="542" t="e">
        <f>VLOOKUP(#REF!,$GZ$39:$HA$48,2,FALSE)</f>
        <v>#REF!</v>
      </c>
      <c r="B81" s="822"/>
      <c r="C81" s="823"/>
      <c r="D81" s="580"/>
      <c r="E81" s="807">
        <v>0</v>
      </c>
      <c r="F81" s="808"/>
      <c r="G81" s="827"/>
      <c r="H81" s="828"/>
      <c r="I81" s="828"/>
      <c r="J81" s="829"/>
      <c r="K81" s="814"/>
      <c r="L81" s="815"/>
      <c r="M81" s="770">
        <f ca="1">DATE(YEAR(M79),MONTH(M79)+(K81-K79),DAY(M79))</f>
        <v>43800</v>
      </c>
      <c r="N81" s="770"/>
      <c r="O81" s="770"/>
      <c r="P81" s="1036">
        <f>G81*E81</f>
        <v>0</v>
      </c>
      <c r="Q81" s="1036"/>
      <c r="R81" s="1036"/>
      <c r="S81" s="852" t="str">
        <f ca="1">IF(M81&gt;K94,"Semestral Fora do Prazo",IF(E81&lt;&gt;0,IF(G81&gt;'Simulador CEF'!F20,CONCATENATE("valor excedente, máximo de R$ ",'Simulador CEF'!F20," 
por parcela."),IF(E81&gt;J56,CONCATENATE("Parcele no máximo em ",J56," vezes"),"OK")),"Informar Entrada"))</f>
        <v>Semestral Fora do Prazo</v>
      </c>
      <c r="T81" s="853"/>
      <c r="U81" s="853"/>
      <c r="V81" s="557"/>
      <c r="AA81" s="582">
        <f ca="1">IF('Proposta 1 Via'!P49&gt;0,'Proposta 1 Via'!P49,0)</f>
        <v>0</v>
      </c>
      <c r="AG81" s="979">
        <f ca="1">'Proposta 1 Via'!M50</f>
        <v>92.404341588636441</v>
      </c>
      <c r="AH81" s="980"/>
      <c r="AI81" s="981"/>
      <c r="HF81" s="558">
        <v>25</v>
      </c>
      <c r="HG81" s="558"/>
      <c r="HM81" s="559"/>
      <c r="HN81" s="560"/>
      <c r="HO81" s="561"/>
      <c r="HP81" s="561"/>
      <c r="ID81" s="524"/>
      <c r="IE81" s="562"/>
      <c r="IF81" s="524"/>
      <c r="IP81" s="563"/>
      <c r="IQ81" s="542" t="s">
        <v>125</v>
      </c>
      <c r="IR81" s="542" t="s">
        <v>126</v>
      </c>
    </row>
    <row r="82" spans="1:257" ht="21" hidden="1" customHeight="1" thickBot="1" x14ac:dyDescent="0.25">
      <c r="A82" s="139"/>
      <c r="B82" s="822"/>
      <c r="C82" s="823"/>
      <c r="D82" s="714"/>
      <c r="E82" s="515"/>
      <c r="F82" s="515"/>
      <c r="G82" s="515"/>
      <c r="H82" s="516"/>
      <c r="I82" s="516"/>
      <c r="J82" s="516"/>
      <c r="K82" s="517"/>
      <c r="L82" s="517"/>
      <c r="M82" s="518"/>
      <c r="N82" s="518"/>
      <c r="O82" s="519"/>
      <c r="P82" s="516"/>
      <c r="Q82" s="516"/>
      <c r="R82" s="519"/>
      <c r="T82" s="144"/>
      <c r="U82" s="134"/>
      <c r="V82" s="129"/>
      <c r="AA82" s="145"/>
      <c r="AG82" s="705"/>
      <c r="AH82" s="706"/>
      <c r="AI82" s="131"/>
      <c r="HF82" s="10">
        <v>26</v>
      </c>
      <c r="HG82" s="10"/>
      <c r="HM82" s="109"/>
      <c r="HN82" s="110"/>
      <c r="HO82" s="111"/>
      <c r="HP82" s="111"/>
      <c r="ID82" s="106"/>
      <c r="IE82" s="112"/>
      <c r="IF82" s="106"/>
      <c r="IQ82" s="90">
        <v>2790</v>
      </c>
      <c r="IR82" s="90">
        <v>300</v>
      </c>
    </row>
    <row r="83" spans="1:257" ht="33.75" hidden="1" customHeight="1" thickBot="1" x14ac:dyDescent="0.25">
      <c r="A83" s="139" t="e">
        <f>VLOOKUP(#REF!,$GZ$39:$HA$48,2,FALSE)</f>
        <v>#REF!</v>
      </c>
      <c r="B83" s="822"/>
      <c r="C83" s="823"/>
      <c r="D83" s="714" t="s">
        <v>274</v>
      </c>
      <c r="E83" s="791">
        <v>1</v>
      </c>
      <c r="F83" s="792"/>
      <c r="G83" s="1027">
        <v>0</v>
      </c>
      <c r="H83" s="1027"/>
      <c r="I83" s="1027"/>
      <c r="J83" s="1027"/>
      <c r="K83" s="816">
        <f>fluxos!B10</f>
        <v>36</v>
      </c>
      <c r="L83" s="817"/>
      <c r="M83" s="793">
        <f ca="1">DATE(YEAR(M76),MONTH(M76)+(K83-K76),DAY(M76))</f>
        <v>44896</v>
      </c>
      <c r="N83" s="794"/>
      <c r="O83" s="795"/>
      <c r="P83" s="837">
        <f>G83*E83</f>
        <v>0</v>
      </c>
      <c r="Q83" s="838"/>
      <c r="R83" s="839"/>
      <c r="S83" s="758" t="str">
        <f>IF(E83&lt;&gt;0,IF(G83&gt;'Simulador CEF'!F20,CONCATENATE("valor excedente, máximo de R$ ",'Simulador CEF'!F20," 
por parcela."),IF(E83&gt;J54, CONCATENATE("Parcele no máximo em ",J54," vezes"),"OK")),"Informar Entrada")</f>
        <v>OK</v>
      </c>
      <c r="T83" s="758"/>
      <c r="U83" s="758"/>
      <c r="V83" s="129"/>
      <c r="AA83" s="622">
        <f ca="1">IF('Proposta 1 Via'!P47&gt;0,'Proposta 1 Via'!P47,0)</f>
        <v>0</v>
      </c>
      <c r="AG83" s="902">
        <f ca="1">'Proposta 1 Via'!M47</f>
        <v>0</v>
      </c>
      <c r="AH83" s="755"/>
      <c r="AI83" s="903"/>
      <c r="HF83" s="10">
        <v>27</v>
      </c>
      <c r="HG83" s="10"/>
      <c r="HM83" s="109"/>
      <c r="HN83" s="110"/>
      <c r="HO83" s="111"/>
      <c r="HP83" s="111"/>
      <c r="ID83" s="106"/>
      <c r="IE83" s="112"/>
      <c r="IF83" s="106"/>
      <c r="IQ83" s="90">
        <v>4900</v>
      </c>
      <c r="IR83" s="90">
        <v>360</v>
      </c>
    </row>
    <row r="84" spans="1:257" ht="15" hidden="1" customHeight="1" thickBot="1" x14ac:dyDescent="0.25">
      <c r="A84" s="139"/>
      <c r="B84" s="822"/>
      <c r="C84" s="823"/>
      <c r="D84" s="714"/>
      <c r="E84" s="515"/>
      <c r="F84" s="515"/>
      <c r="G84" s="515"/>
      <c r="H84" s="516"/>
      <c r="I84" s="516"/>
      <c r="J84" s="516"/>
      <c r="K84" s="517"/>
      <c r="L84" s="517"/>
      <c r="M84" s="518"/>
      <c r="N84" s="518"/>
      <c r="O84" s="519"/>
      <c r="P84" s="516"/>
      <c r="Q84" s="516"/>
      <c r="R84" s="519"/>
      <c r="T84" s="144"/>
      <c r="U84" s="134"/>
      <c r="V84" s="129"/>
      <c r="AA84" s="145"/>
      <c r="AG84" s="705"/>
      <c r="AH84" s="706"/>
      <c r="AI84" s="131"/>
      <c r="HF84" s="10">
        <v>28</v>
      </c>
      <c r="HG84" s="10"/>
      <c r="HM84" s="109"/>
      <c r="HN84" s="110"/>
      <c r="HO84" s="111"/>
      <c r="HP84" s="111"/>
      <c r="ID84" s="106"/>
      <c r="IE84" s="112"/>
      <c r="IF84" s="106"/>
      <c r="IQ84" s="107"/>
    </row>
    <row r="85" spans="1:257" ht="33.75" hidden="1" customHeight="1" thickBot="1" x14ac:dyDescent="0.25">
      <c r="A85" s="139">
        <f>VLOOKUP(D85,$GZ$39:$HA$48,2,FALSE)</f>
        <v>12</v>
      </c>
      <c r="B85" s="822"/>
      <c r="C85" s="823"/>
      <c r="D85" s="714" t="s">
        <v>35</v>
      </c>
      <c r="E85" s="807">
        <v>0</v>
      </c>
      <c r="F85" s="808"/>
      <c r="G85" s="827"/>
      <c r="H85" s="828"/>
      <c r="I85" s="828"/>
      <c r="J85" s="829"/>
      <c r="K85" s="805">
        <v>9</v>
      </c>
      <c r="L85" s="806"/>
      <c r="M85" s="770">
        <f ca="1">DATE(YEAR(M83),MONTH(M83)+(K85-K83),DAY(M83))</f>
        <v>44075</v>
      </c>
      <c r="N85" s="770"/>
      <c r="O85" s="770"/>
      <c r="P85" s="1036">
        <f>G85*E85</f>
        <v>0</v>
      </c>
      <c r="Q85" s="1036"/>
      <c r="R85" s="1036"/>
      <c r="S85" s="759" t="str">
        <f>IF(G85&gt;0,IF($AO$117&gt;K85,IF(K85+(E85-1)*A85&lt;=$AO$117,"Ok",CONCATENATE("Prazo excedido, parcela máxima: ",(ROUNDDOWN(($AO$117-K85)/A85,0))+1)),"Mês de início inválido."),"")</f>
        <v/>
      </c>
      <c r="T85" s="760"/>
      <c r="U85" s="184"/>
      <c r="V85" s="129"/>
      <c r="AA85" s="280">
        <f ca="1">IF('Proposta 1 Via'!P48&gt;0,'Proposta 1 Via'!P48,0)</f>
        <v>4999.9999999999727</v>
      </c>
      <c r="AG85" s="902">
        <f ca="1">'Proposta 1 Via'!M48</f>
        <v>4720.8370026215944</v>
      </c>
      <c r="AH85" s="755"/>
      <c r="AI85" s="903"/>
      <c r="HF85" s="10">
        <v>29</v>
      </c>
      <c r="HG85" s="10"/>
      <c r="HM85" s="109"/>
      <c r="HN85" s="110"/>
      <c r="HO85" s="111"/>
      <c r="HP85" s="111"/>
      <c r="ID85" s="106"/>
      <c r="IE85" s="112"/>
      <c r="IF85" s="106"/>
      <c r="IQ85" s="107"/>
    </row>
    <row r="86" spans="1:257" ht="15" hidden="1" customHeight="1" thickBot="1" x14ac:dyDescent="0.25">
      <c r="A86" s="139"/>
      <c r="B86" s="822"/>
      <c r="C86" s="823"/>
      <c r="D86" s="714"/>
      <c r="E86" s="520"/>
      <c r="F86" s="520"/>
      <c r="G86" s="520"/>
      <c r="H86" s="521"/>
      <c r="I86" s="521"/>
      <c r="J86" s="521"/>
      <c r="K86" s="522"/>
      <c r="L86" s="522"/>
      <c r="M86" s="523"/>
      <c r="N86" s="523"/>
      <c r="O86" s="524"/>
      <c r="P86" s="521"/>
      <c r="Q86" s="521"/>
      <c r="R86" s="524"/>
      <c r="T86" s="144"/>
      <c r="U86" s="134"/>
      <c r="V86" s="129"/>
      <c r="AA86" s="145"/>
      <c r="AG86" s="705"/>
      <c r="AH86" s="706"/>
      <c r="AI86" s="131"/>
      <c r="HF86" s="10">
        <v>30</v>
      </c>
      <c r="HG86" s="10"/>
      <c r="HM86" s="109"/>
      <c r="HN86" s="110"/>
      <c r="HO86" s="111"/>
      <c r="HP86" s="111"/>
      <c r="ID86" s="106"/>
      <c r="IE86" s="112"/>
      <c r="IF86" s="106"/>
      <c r="IQ86" s="107"/>
    </row>
    <row r="87" spans="1:257" ht="33.75" hidden="1" customHeight="1" thickBot="1" x14ac:dyDescent="0.25">
      <c r="A87" s="139">
        <f>VLOOKUP(D87,$GZ$39:$HA$48,2,FALSE)</f>
        <v>0</v>
      </c>
      <c r="B87" s="822"/>
      <c r="C87" s="823"/>
      <c r="D87" s="714" t="s">
        <v>281</v>
      </c>
      <c r="E87" s="807">
        <v>1</v>
      </c>
      <c r="F87" s="808"/>
      <c r="G87" s="827">
        <v>0</v>
      </c>
      <c r="H87" s="828"/>
      <c r="I87" s="828"/>
      <c r="J87" s="829"/>
      <c r="K87" s="806">
        <v>5</v>
      </c>
      <c r="L87" s="806"/>
      <c r="M87" s="770">
        <f ca="1">DATE(YEAR(M85),MONTH(M85)+(K87-K85),DAY(M85))</f>
        <v>43952</v>
      </c>
      <c r="N87" s="770"/>
      <c r="O87" s="770"/>
      <c r="P87" s="1059">
        <f>G87*E87</f>
        <v>0</v>
      </c>
      <c r="Q87" s="1036"/>
      <c r="R87" s="1036"/>
      <c r="S87" s="757" t="s">
        <v>283</v>
      </c>
      <c r="T87" s="758"/>
      <c r="U87" s="758"/>
      <c r="V87" s="129"/>
      <c r="AA87" s="280">
        <f ca="1">IF('Proposta 1 Via'!P49&gt;0,'Proposta 1 Via'!P49,0)</f>
        <v>0</v>
      </c>
      <c r="AG87" s="902">
        <f ca="1">'Proposta 1 Via'!M49</f>
        <v>0</v>
      </c>
      <c r="AH87" s="755"/>
      <c r="AI87" s="903"/>
      <c r="AL87" s="105" t="s">
        <v>240</v>
      </c>
      <c r="HM87" s="109"/>
      <c r="HN87" s="110"/>
      <c r="HO87" s="111"/>
      <c r="HP87" s="111"/>
      <c r="ID87" s="106"/>
      <c r="IE87" s="112"/>
      <c r="IF87" s="106"/>
      <c r="IQ87" s="107"/>
    </row>
    <row r="88" spans="1:257" ht="15" customHeight="1" thickBot="1" x14ac:dyDescent="0.25">
      <c r="A88" s="139"/>
      <c r="B88" s="822"/>
      <c r="C88" s="823"/>
      <c r="D88" s="714"/>
      <c r="E88" s="710"/>
      <c r="F88" s="710"/>
      <c r="G88" s="710"/>
      <c r="H88" s="706"/>
      <c r="I88" s="706"/>
      <c r="J88" s="706"/>
      <c r="K88" s="143"/>
      <c r="L88" s="143"/>
      <c r="M88" s="711"/>
      <c r="N88" s="711"/>
      <c r="O88" s="106"/>
      <c r="P88" s="706"/>
      <c r="Q88" s="706"/>
      <c r="R88" s="106"/>
      <c r="S88" s="106"/>
      <c r="T88" s="106"/>
      <c r="U88" s="133"/>
      <c r="V88" s="129"/>
      <c r="AA88" s="145"/>
      <c r="AG88" s="705"/>
      <c r="AH88" s="706"/>
      <c r="AI88" s="131"/>
      <c r="AL88" s="105"/>
      <c r="HM88" s="109"/>
      <c r="HN88" s="110"/>
      <c r="HO88" s="111"/>
      <c r="HP88" s="111"/>
      <c r="ID88" s="106"/>
      <c r="IE88" s="112"/>
      <c r="IF88" s="106"/>
      <c r="IP88" s="147" t="s">
        <v>121</v>
      </c>
      <c r="IQ88" s="102" t="s">
        <v>129</v>
      </c>
      <c r="IR88" s="102" t="s">
        <v>130</v>
      </c>
      <c r="IS88" s="542" t="s">
        <v>131</v>
      </c>
      <c r="IU88" s="893" t="s">
        <v>132</v>
      </c>
      <c r="IV88" s="893"/>
      <c r="IW88" s="893"/>
    </row>
    <row r="89" spans="1:257" ht="33.75" customHeight="1" thickBot="1" x14ac:dyDescent="0.25">
      <c r="A89" s="139">
        <v>1</v>
      </c>
      <c r="B89" s="822"/>
      <c r="C89" s="823"/>
      <c r="D89" s="714" t="s">
        <v>274</v>
      </c>
      <c r="E89" s="803">
        <v>1</v>
      </c>
      <c r="F89" s="804"/>
      <c r="G89" s="811">
        <v>100</v>
      </c>
      <c r="H89" s="812"/>
      <c r="I89" s="812"/>
      <c r="J89" s="813"/>
      <c r="K89" s="783">
        <v>37</v>
      </c>
      <c r="L89" s="784"/>
      <c r="M89" s="777">
        <f ca="1">DATE(YEAR(M87),MONTH(M87)+(K89-K87),1)</f>
        <v>44927</v>
      </c>
      <c r="N89" s="778"/>
      <c r="O89" s="779"/>
      <c r="P89" s="762">
        <f>G89*E89</f>
        <v>100</v>
      </c>
      <c r="Q89" s="763"/>
      <c r="R89" s="764"/>
      <c r="S89" s="906" t="str">
        <f ca="1">IF(SUM(P91:R92)&gt;S37,"Financiamento superior ao permitido na tabela","ok")</f>
        <v>ok</v>
      </c>
      <c r="T89" s="906"/>
      <c r="U89" s="906"/>
      <c r="V89" s="355"/>
      <c r="W89" s="356"/>
      <c r="X89" s="356"/>
      <c r="Y89" s="356"/>
      <c r="Z89" s="356"/>
      <c r="AA89" s="622">
        <f ca="1">IF('Proposta 1 Via'!P50&gt;0,'Proposta 1 Via'!P50,0)</f>
        <v>85.385623444267168</v>
      </c>
      <c r="AC89" s="105" t="s">
        <v>259</v>
      </c>
      <c r="AG89" s="902">
        <f ca="1">'Proposta 1 Via'!M50</f>
        <v>92.404341588636441</v>
      </c>
      <c r="AH89" s="755"/>
      <c r="AI89" s="903"/>
      <c r="AL89" s="284">
        <f ca="1">(P94-P92-P91)*'Premissas e Calculos'!G35</f>
        <v>5850</v>
      </c>
      <c r="AR89" s="390" t="s">
        <v>467</v>
      </c>
      <c r="HM89" s="148">
        <f>Apoio!B244</f>
        <v>0</v>
      </c>
      <c r="HN89" s="93">
        <f>Apoio!C244</f>
        <v>0</v>
      </c>
      <c r="HO89" s="93">
        <f>Apoio!D244</f>
        <v>0</v>
      </c>
      <c r="HP89" s="93">
        <f>Apoio!E244</f>
        <v>0</v>
      </c>
      <c r="ID89" s="106"/>
      <c r="IE89" s="112"/>
      <c r="IF89" s="106"/>
      <c r="IP89" s="149">
        <v>120</v>
      </c>
      <c r="IQ89" s="107">
        <v>1</v>
      </c>
      <c r="IR89" s="107">
        <v>1</v>
      </c>
      <c r="IS89" s="542">
        <v>1928</v>
      </c>
      <c r="IU89" s="337" t="str">
        <f>CONCATENATE(S16,"/",T16,"/",U16)</f>
        <v>20/9/1994</v>
      </c>
      <c r="IV89" s="338">
        <f ca="1">TODAY()+120</f>
        <v>43922</v>
      </c>
      <c r="IW89" s="339">
        <f ca="1">ROUND((IV89-IU89)/30,0)</f>
        <v>311</v>
      </c>
    </row>
    <row r="90" spans="1:257" ht="66" customHeight="1" x14ac:dyDescent="0.2">
      <c r="A90" s="139"/>
      <c r="B90" s="822"/>
      <c r="C90" s="823"/>
      <c r="D90" s="142"/>
      <c r="E90" s="710"/>
      <c r="F90" s="710"/>
      <c r="G90" s="706"/>
      <c r="H90" s="706"/>
      <c r="I90" s="706"/>
      <c r="J90" s="106"/>
      <c r="K90" s="143"/>
      <c r="L90" s="143"/>
      <c r="M90" s="711"/>
      <c r="N90" s="711"/>
      <c r="O90" s="710"/>
      <c r="P90" s="706"/>
      <c r="Q90" s="706"/>
      <c r="R90" s="106"/>
      <c r="S90" s="106"/>
      <c r="T90" s="106"/>
      <c r="U90" s="133"/>
      <c r="V90" s="129"/>
      <c r="AA90" s="150"/>
      <c r="AC90" s="105"/>
      <c r="AG90" s="705"/>
      <c r="AH90" s="706"/>
      <c r="AI90" s="131"/>
      <c r="AP90" s="676">
        <f>E79</f>
        <v>1</v>
      </c>
      <c r="AR90" s="677" t="str">
        <f ca="1">IF(AP90=0,"ok",IF(AND(AP90=1,AP91&lt;(fluxos!C9+4)),"ok",IF(AND(AP90=2,AP91&lt;(fluxos!C9+4-12)),"ok","falha")))</f>
        <v>ok</v>
      </c>
      <c r="HM90" s="894" t="str">
        <f>Apoio!B245</f>
        <v>Fluxo de Juros da CAIXA</v>
      </c>
      <c r="HN90" s="895"/>
      <c r="HO90" s="895"/>
      <c r="HP90" s="896"/>
      <c r="ID90" s="106"/>
      <c r="IE90" s="112"/>
      <c r="IF90" s="106"/>
      <c r="IP90" s="149">
        <f>IP89+60</f>
        <v>180</v>
      </c>
      <c r="IQ90" s="107">
        <v>2</v>
      </c>
      <c r="IR90" s="107">
        <v>2</v>
      </c>
      <c r="IS90" s="542">
        <v>1929</v>
      </c>
    </row>
    <row r="91" spans="1:257" ht="33.75" customHeight="1" thickBot="1" x14ac:dyDescent="0.25">
      <c r="A91" s="139"/>
      <c r="B91" s="822"/>
      <c r="C91" s="823"/>
      <c r="D91" s="840" t="s">
        <v>18</v>
      </c>
      <c r="E91" s="774" t="s">
        <v>301</v>
      </c>
      <c r="F91" s="774"/>
      <c r="G91" s="774"/>
      <c r="H91" s="774"/>
      <c r="I91" s="774"/>
      <c r="J91" s="774"/>
      <c r="K91" s="972">
        <v>3</v>
      </c>
      <c r="L91" s="973"/>
      <c r="M91" s="752">
        <f ca="1">G56</f>
        <v>43893</v>
      </c>
      <c r="N91" s="752"/>
      <c r="O91" s="752"/>
      <c r="P91" s="976">
        <f>S26+S20+S35</f>
        <v>64678</v>
      </c>
      <c r="Q91" s="976"/>
      <c r="R91" s="976"/>
      <c r="T91" s="904" t="s">
        <v>275</v>
      </c>
      <c r="U91" s="905"/>
      <c r="V91" s="129"/>
      <c r="AA91" s="150"/>
      <c r="AC91" s="105">
        <f ca="1">'Proposta 1 Via'!Q64</f>
        <v>135546.8048901349</v>
      </c>
      <c r="AG91" s="902">
        <f ca="1">'Proposta 1 Via'!M51</f>
        <v>63299.453062570494</v>
      </c>
      <c r="AH91" s="755"/>
      <c r="AI91" s="903"/>
      <c r="AP91" s="675">
        <f ca="1">K79</f>
        <v>8</v>
      </c>
      <c r="HM91" s="712"/>
      <c r="HN91" s="713"/>
      <c r="HO91" s="713"/>
      <c r="HP91" s="151"/>
      <c r="ID91" s="106"/>
      <c r="IE91" s="112"/>
      <c r="IF91" s="106"/>
      <c r="IP91" s="149">
        <f>IP90+60</f>
        <v>240</v>
      </c>
      <c r="IQ91" s="107">
        <v>3</v>
      </c>
      <c r="IR91" s="107">
        <v>3</v>
      </c>
      <c r="IS91" s="542">
        <v>1930</v>
      </c>
    </row>
    <row r="92" spans="1:257" ht="33.75" customHeight="1" thickBot="1" x14ac:dyDescent="0.25">
      <c r="A92" s="139"/>
      <c r="B92" s="822"/>
      <c r="C92" s="823"/>
      <c r="D92" s="840"/>
      <c r="E92" s="774" t="s">
        <v>191</v>
      </c>
      <c r="F92" s="774"/>
      <c r="G92" s="774"/>
      <c r="H92" s="774"/>
      <c r="I92" s="774"/>
      <c r="J92" s="774"/>
      <c r="K92" s="974"/>
      <c r="L92" s="975"/>
      <c r="M92" s="752"/>
      <c r="N92" s="752"/>
      <c r="O92" s="752"/>
      <c r="P92" s="971">
        <f ca="1">IF(S28&lt;AC91,S28,IF(T92="sim",AC91,S28))</f>
        <v>135546.8048901349</v>
      </c>
      <c r="Q92" s="971"/>
      <c r="R92" s="971"/>
      <c r="T92" s="643" t="s">
        <v>277</v>
      </c>
      <c r="U92" s="644" t="str">
        <f ca="1">IF(S37&lt;AC91,"Limite Atingido", "Possível")</f>
        <v>Possível</v>
      </c>
      <c r="V92" s="129"/>
      <c r="AA92" s="622">
        <f ca="1">'Proposta 1 Via'!P52</f>
        <v>135546.8048901349</v>
      </c>
      <c r="AC92" s="105" t="s">
        <v>260</v>
      </c>
      <c r="AG92" s="897">
        <f ca="1">'Proposta 1 Via'!M52</f>
        <v>132657.76019549917</v>
      </c>
      <c r="AH92" s="898"/>
      <c r="AI92" s="899"/>
      <c r="HM92" s="105" t="str">
        <f>Apoio!B246</f>
        <v>Taxa de Juros</v>
      </c>
      <c r="HN92" s="110">
        <f>Apoio!C246</f>
        <v>0</v>
      </c>
      <c r="HO92" s="152">
        <f>Apoio!D246</f>
        <v>8.1600000000000006E-2</v>
      </c>
      <c r="HP92" s="153" t="str">
        <f>Apoio!E246</f>
        <v>Código</v>
      </c>
      <c r="ID92" s="106"/>
      <c r="IE92" s="112"/>
      <c r="IF92" s="106"/>
      <c r="IP92" s="149">
        <f>IP91+60</f>
        <v>300</v>
      </c>
      <c r="IQ92" s="107">
        <v>4</v>
      </c>
      <c r="IR92" s="107">
        <v>4</v>
      </c>
      <c r="IS92" s="542">
        <v>1931</v>
      </c>
    </row>
    <row r="93" spans="1:257" ht="20.25" customHeight="1" thickBot="1" x14ac:dyDescent="0.25">
      <c r="A93" s="139"/>
      <c r="B93" s="822"/>
      <c r="C93" s="823"/>
      <c r="D93" s="154"/>
      <c r="E93" s="790" t="str">
        <f>IF(SUM(P74,P76,P83,P79)&gt;S6*15%,"Pró-Soluto acima do permitido","")</f>
        <v/>
      </c>
      <c r="F93" s="790"/>
      <c r="G93" s="790"/>
      <c r="H93" s="790"/>
      <c r="I93" s="790"/>
      <c r="J93" s="790"/>
      <c r="K93" s="551"/>
      <c r="L93" s="552"/>
      <c r="M93" s="367"/>
      <c r="N93" s="106"/>
      <c r="O93" s="106"/>
      <c r="P93" s="112"/>
      <c r="Q93" s="112"/>
      <c r="R93" s="106"/>
      <c r="S93" s="291" t="s">
        <v>202</v>
      </c>
      <c r="T93" s="911"/>
      <c r="U93" s="912"/>
      <c r="V93" s="900"/>
      <c r="AC93" s="105" t="s">
        <v>208</v>
      </c>
      <c r="AG93" s="134"/>
      <c r="AH93" s="134"/>
      <c r="AI93" s="134"/>
      <c r="HM93" s="105" t="str">
        <f>Apoio!B247</f>
        <v>Valor Financiado</v>
      </c>
      <c r="HN93" s="110">
        <f>Apoio!C247</f>
        <v>0</v>
      </c>
      <c r="HO93" s="155">
        <f ca="1">Apoio!D247</f>
        <v>135546.8048901349</v>
      </c>
      <c r="HP93" s="156">
        <f>Apoio!E247</f>
        <v>3</v>
      </c>
      <c r="ID93" s="106"/>
      <c r="IE93" s="112"/>
      <c r="IF93" s="106"/>
      <c r="IP93" s="149">
        <f>IP92+60</f>
        <v>360</v>
      </c>
      <c r="IQ93" s="107">
        <v>5</v>
      </c>
      <c r="IR93" s="107">
        <v>5</v>
      </c>
      <c r="IS93" s="542">
        <v>1932</v>
      </c>
    </row>
    <row r="94" spans="1:257" ht="56.25" customHeight="1" thickBot="1" x14ac:dyDescent="0.25">
      <c r="A94" s="139"/>
      <c r="B94" s="822"/>
      <c r="C94" s="823"/>
      <c r="D94" s="157"/>
      <c r="E94" s="790"/>
      <c r="F94" s="790"/>
      <c r="G94" s="790"/>
      <c r="H94" s="790"/>
      <c r="I94" s="790"/>
      <c r="J94" s="790"/>
      <c r="K94" s="549">
        <f>IF(K3=0,L94,L96)</f>
        <v>42308</v>
      </c>
      <c r="L94" s="550">
        <v>42308</v>
      </c>
      <c r="M94" s="854" t="s">
        <v>241</v>
      </c>
      <c r="N94" s="854"/>
      <c r="O94" s="855"/>
      <c r="P94" s="1035">
        <f ca="1">SUM(P64,P66,P68,P70,P74,P76,P83,P87,P89,P91,P92,P79,P81)</f>
        <v>219724.8048901349</v>
      </c>
      <c r="Q94" s="1035"/>
      <c r="R94" s="1035"/>
      <c r="S94" s="616">
        <f ca="1">(AD58-AG94)/AD58</f>
        <v>-1.356157853130483E-16</v>
      </c>
      <c r="T94" s="909" t="str">
        <f ca="1">IF(S94&lt;-0.00005%,"VALOR PROPOSTO EXCEDIDO",IF(S94&gt;0.00005%,"AUMENTAR PROPOSTA","PRÉ-APROVADO"))</f>
        <v>PRÉ-APROVADO</v>
      </c>
      <c r="U94" s="910"/>
      <c r="V94" s="900"/>
      <c r="AC94" s="105" t="s">
        <v>209</v>
      </c>
      <c r="AG94" s="754">
        <f ca="1">SUM(AG92,AG89,AG87,AG85,AG83,AG76,AG64,AG91,AG74,AG70,AG68,AG66)</f>
        <v>214605.0357600479</v>
      </c>
      <c r="AH94" s="755"/>
      <c r="AI94" s="756"/>
      <c r="HM94" s="158" t="str">
        <f>Apoio!B248</f>
        <v>Período</v>
      </c>
      <c r="HN94" s="158" t="str">
        <f>Apoio!C248</f>
        <v>Obra</v>
      </c>
      <c r="HO94" s="158" t="str">
        <f>Apoio!D248</f>
        <v>Desembolso</v>
      </c>
      <c r="HP94" s="159" t="str">
        <f>Apoio!E248</f>
        <v>Juros Cliente</v>
      </c>
      <c r="ID94" s="106"/>
      <c r="IE94" s="112"/>
      <c r="IF94" s="106"/>
      <c r="IP94" s="149"/>
      <c r="IQ94" s="107">
        <v>6</v>
      </c>
      <c r="IR94" s="107">
        <v>6</v>
      </c>
      <c r="IS94" s="542">
        <v>1933</v>
      </c>
    </row>
    <row r="95" spans="1:257" ht="30" customHeight="1" thickBot="1" x14ac:dyDescent="0.25">
      <c r="A95" s="139"/>
      <c r="B95" s="822"/>
      <c r="C95" s="823"/>
      <c r="D95" s="157"/>
      <c r="E95" s="718"/>
      <c r="F95" s="718"/>
      <c r="G95" s="718"/>
      <c r="H95" s="718"/>
      <c r="I95" s="718"/>
      <c r="J95" s="718"/>
      <c r="K95" s="969" t="s">
        <v>468</v>
      </c>
      <c r="L95" s="970"/>
      <c r="M95" s="717"/>
      <c r="N95" s="717"/>
      <c r="O95" s="717"/>
      <c r="P95" s="690"/>
      <c r="Q95" s="690"/>
      <c r="R95" s="690"/>
      <c r="S95" s="691"/>
      <c r="T95" s="692"/>
      <c r="U95" s="692"/>
      <c r="V95" s="900"/>
      <c r="AC95" s="106"/>
      <c r="AG95" s="368"/>
      <c r="AH95" s="368"/>
      <c r="AI95" s="368"/>
      <c r="HM95" s="688"/>
      <c r="HN95" s="689"/>
      <c r="HO95" s="689"/>
      <c r="HP95" s="696"/>
      <c r="ID95" s="106"/>
      <c r="IE95" s="112"/>
      <c r="IF95" s="106"/>
      <c r="IP95" s="149"/>
      <c r="IQ95" s="107"/>
      <c r="IR95" s="107"/>
    </row>
    <row r="96" spans="1:257" ht="60.75" customHeight="1" thickBot="1" x14ac:dyDescent="0.25">
      <c r="A96" s="139"/>
      <c r="B96" s="824"/>
      <c r="C96" s="825"/>
      <c r="D96" s="660">
        <f>fluxos!C9</f>
        <v>8</v>
      </c>
      <c r="E96" s="968" t="str">
        <f ca="1">IF(P92&lt;30000,"Financiamento abaixo de 30.000","")</f>
        <v/>
      </c>
      <c r="F96" s="968"/>
      <c r="G96" s="968"/>
      <c r="H96" s="968"/>
      <c r="I96" s="968"/>
      <c r="J96" s="968"/>
      <c r="K96" s="877">
        <f ca="1">(P76+P79+P89)/P94</f>
        <v>7.0542786499458679E-2</v>
      </c>
      <c r="L96" s="878"/>
      <c r="M96" s="693"/>
      <c r="N96" s="137"/>
      <c r="O96" s="137"/>
      <c r="P96" s="137"/>
      <c r="Q96" s="328"/>
      <c r="R96" s="137"/>
      <c r="S96" s="907" t="str">
        <f ca="1">IF(SUM(P91:R92)&gt;P56,"Financiamento superior ao permitido na tabela","ok")</f>
        <v>Financiamento superior ao permitido na tabela</v>
      </c>
      <c r="T96" s="908"/>
      <c r="U96" s="908"/>
      <c r="V96" s="901"/>
      <c r="HM96" s="160">
        <f>Apoio!B249</f>
        <v>0</v>
      </c>
      <c r="HN96" s="161">
        <f>Apoio!C249</f>
        <v>0</v>
      </c>
      <c r="HO96" s="161">
        <f>Apoio!D249</f>
        <v>0</v>
      </c>
      <c r="HP96" s="162">
        <f>Apoio!E249</f>
        <v>0</v>
      </c>
      <c r="ID96" s="106"/>
      <c r="IE96" s="112"/>
      <c r="IF96" s="106"/>
      <c r="IP96" s="149"/>
      <c r="IQ96" s="107">
        <v>7</v>
      </c>
      <c r="IR96" s="107">
        <v>7</v>
      </c>
      <c r="IS96" s="542">
        <v>1934</v>
      </c>
    </row>
    <row r="97" spans="2:253" ht="11.25" customHeight="1" x14ac:dyDescent="0.2">
      <c r="E97" s="645"/>
      <c r="F97" s="645"/>
      <c r="G97" s="645"/>
      <c r="H97" s="645"/>
      <c r="I97" s="645"/>
      <c r="J97" s="645"/>
      <c r="AB97" s="163"/>
      <c r="AC97" s="163"/>
      <c r="HM97" s="110">
        <f>Apoio!B250</f>
        <v>1</v>
      </c>
      <c r="HN97" s="164" t="e">
        <f>Apoio!C250</f>
        <v>#N/A</v>
      </c>
      <c r="HO97" s="165" t="e">
        <f>Apoio!D250</f>
        <v>#N/A</v>
      </c>
      <c r="HP97" s="166">
        <f>Apoio!E250</f>
        <v>0</v>
      </c>
      <c r="ID97" s="106"/>
      <c r="IE97" s="112"/>
      <c r="IF97" s="106"/>
      <c r="IP97" s="149"/>
      <c r="IQ97" s="107">
        <v>8</v>
      </c>
      <c r="IR97" s="107">
        <v>8</v>
      </c>
      <c r="IS97" s="542">
        <v>1935</v>
      </c>
    </row>
    <row r="98" spans="2:253" ht="8.25" customHeight="1" x14ac:dyDescent="0.2">
      <c r="B98" s="879" t="s">
        <v>192</v>
      </c>
      <c r="C98" s="880"/>
      <c r="D98" s="881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7"/>
      <c r="AB98" s="163"/>
      <c r="AC98" s="163"/>
      <c r="HM98" s="110"/>
      <c r="HN98" s="164"/>
      <c r="HO98" s="165"/>
      <c r="HP98" s="166"/>
      <c r="ID98" s="106"/>
      <c r="IE98" s="112"/>
      <c r="IF98" s="106"/>
      <c r="IQ98" s="107">
        <v>9</v>
      </c>
      <c r="IR98" s="107">
        <v>9</v>
      </c>
      <c r="IS98" s="542">
        <v>1936</v>
      </c>
    </row>
    <row r="99" spans="2:253" ht="12.75" customHeight="1" x14ac:dyDescent="0.2">
      <c r="B99" s="882"/>
      <c r="C99" s="883"/>
      <c r="D99" s="884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29"/>
      <c r="AB99" s="163"/>
      <c r="AC99" s="163"/>
      <c r="AD99" s="163"/>
      <c r="AE99" s="163"/>
      <c r="HM99" s="110"/>
      <c r="HN99" s="164"/>
      <c r="HO99" s="165"/>
      <c r="HP99" s="166"/>
      <c r="ID99" s="106"/>
      <c r="IE99" s="112"/>
      <c r="IF99" s="106"/>
      <c r="IQ99" s="107">
        <v>10</v>
      </c>
      <c r="IR99" s="107">
        <v>10</v>
      </c>
      <c r="IS99" s="542">
        <v>1937</v>
      </c>
    </row>
    <row r="100" spans="2:253" ht="28.5" customHeight="1" x14ac:dyDescent="0.2">
      <c r="B100" s="882"/>
      <c r="C100" s="883"/>
      <c r="D100" s="884"/>
      <c r="E100" s="167"/>
      <c r="F100" s="1033" t="str">
        <f>IF(G68&lt;G74,"Inconsistência a Mensal 1 não pode ser MENOR que a Mensal 2","OK")</f>
        <v>OK</v>
      </c>
      <c r="G100" s="1033"/>
      <c r="H100" s="1033"/>
      <c r="I100" s="1034"/>
      <c r="J100" s="1034"/>
      <c r="K100" s="1034"/>
      <c r="L100" s="1034"/>
      <c r="M100" s="1034"/>
      <c r="N100" s="1034"/>
      <c r="O100" s="1034"/>
      <c r="P100" s="1034"/>
      <c r="Q100" s="168"/>
      <c r="R100" s="168"/>
      <c r="U100" s="169"/>
      <c r="V100" s="129"/>
      <c r="AB100" s="163"/>
      <c r="AC100" s="163"/>
      <c r="AD100" s="163"/>
      <c r="AE100" s="163"/>
      <c r="HM100" s="110">
        <f>Apoio!B251</f>
        <v>2</v>
      </c>
      <c r="HN100" s="164" t="e">
        <f>Apoio!C251</f>
        <v>#N/A</v>
      </c>
      <c r="HO100" s="165" t="e">
        <f>Apoio!D251</f>
        <v>#N/A</v>
      </c>
      <c r="HP100" s="166" t="e">
        <f ca="1">Apoio!E251</f>
        <v>#N/A</v>
      </c>
      <c r="ID100" s="106"/>
      <c r="IE100" s="112"/>
      <c r="IF100" s="106"/>
      <c r="IQ100" s="107">
        <v>11</v>
      </c>
      <c r="IR100" s="107">
        <v>11</v>
      </c>
      <c r="IS100" s="542">
        <v>1938</v>
      </c>
    </row>
    <row r="101" spans="2:253" ht="23.25" customHeight="1" x14ac:dyDescent="0.2">
      <c r="B101" s="882"/>
      <c r="C101" s="883"/>
      <c r="D101" s="884"/>
      <c r="E101" s="167"/>
      <c r="F101" s="1034"/>
      <c r="G101" s="1034"/>
      <c r="H101" s="1034"/>
      <c r="I101" s="1034"/>
      <c r="J101" s="1034"/>
      <c r="K101" s="1034"/>
      <c r="L101" s="1034"/>
      <c r="M101" s="1034"/>
      <c r="N101" s="1034"/>
      <c r="O101" s="1034"/>
      <c r="P101" s="1034"/>
      <c r="Q101" s="168"/>
      <c r="R101" s="168"/>
      <c r="U101" s="169"/>
      <c r="V101" s="129"/>
      <c r="AB101" s="163"/>
      <c r="AC101" s="163"/>
      <c r="AD101" s="163"/>
      <c r="AE101" s="163"/>
      <c r="HM101" s="110">
        <f>Apoio!B252</f>
        <v>3</v>
      </c>
      <c r="HN101" s="164" t="e">
        <f>Apoio!C252</f>
        <v>#N/A</v>
      </c>
      <c r="HO101" s="165" t="e">
        <f>Apoio!D252</f>
        <v>#N/A</v>
      </c>
      <c r="HP101" s="166" t="e">
        <f ca="1">Apoio!E252</f>
        <v>#N/A</v>
      </c>
      <c r="ID101" s="106"/>
      <c r="IE101" s="112"/>
      <c r="IF101" s="106"/>
      <c r="IQ101" s="107">
        <v>12</v>
      </c>
      <c r="IR101" s="107">
        <v>12</v>
      </c>
      <c r="IS101" s="542">
        <v>1939</v>
      </c>
    </row>
    <row r="102" spans="2:253" ht="3.75" customHeight="1" x14ac:dyDescent="0.2">
      <c r="B102" s="885"/>
      <c r="C102" s="886"/>
      <c r="D102" s="887"/>
      <c r="E102" s="137"/>
      <c r="F102" s="137"/>
      <c r="G102" s="137"/>
      <c r="H102" s="137"/>
      <c r="I102" s="137"/>
      <c r="J102" s="137"/>
      <c r="K102" s="137"/>
      <c r="L102" s="137"/>
      <c r="M102" s="170"/>
      <c r="N102" s="170"/>
      <c r="O102" s="137"/>
      <c r="P102" s="137"/>
      <c r="Q102" s="137"/>
      <c r="R102" s="137"/>
      <c r="S102" s="137"/>
      <c r="T102" s="137"/>
      <c r="U102" s="137"/>
      <c r="V102" s="138"/>
      <c r="HM102" s="110">
        <f>Apoio!B253</f>
        <v>4</v>
      </c>
      <c r="HN102" s="164" t="e">
        <f>Apoio!C253</f>
        <v>#N/A</v>
      </c>
      <c r="HO102" s="165" t="e">
        <f>Apoio!D253</f>
        <v>#N/A</v>
      </c>
      <c r="HP102" s="166" t="e">
        <f ca="1">Apoio!E253</f>
        <v>#N/A</v>
      </c>
      <c r="ID102" s="106"/>
      <c r="IE102" s="112"/>
      <c r="IF102" s="106"/>
      <c r="IQ102" s="107">
        <v>13</v>
      </c>
      <c r="IR102" s="107"/>
      <c r="IS102" s="542">
        <v>1940</v>
      </c>
    </row>
    <row r="103" spans="2:253" ht="9.75" customHeight="1" x14ac:dyDescent="0.2">
      <c r="B103" s="830"/>
      <c r="C103" s="830"/>
      <c r="D103" s="830"/>
      <c r="E103" s="830"/>
      <c r="F103" s="830"/>
      <c r="G103" s="830"/>
      <c r="H103" s="830"/>
      <c r="I103" s="830"/>
      <c r="J103" s="830"/>
      <c r="K103" s="830"/>
      <c r="L103" s="830"/>
      <c r="M103" s="830"/>
      <c r="N103" s="830"/>
      <c r="O103" s="830"/>
      <c r="P103" s="830"/>
      <c r="Q103" s="830"/>
      <c r="R103" s="830"/>
      <c r="S103" s="830"/>
      <c r="T103" s="830"/>
      <c r="U103" s="830"/>
      <c r="V103" s="830"/>
      <c r="W103" s="830"/>
      <c r="HM103" s="110">
        <f>Apoio!B254</f>
        <v>5</v>
      </c>
      <c r="HN103" s="164" t="e">
        <f>Apoio!C254</f>
        <v>#N/A</v>
      </c>
      <c r="HO103" s="165" t="e">
        <f>Apoio!D254</f>
        <v>#N/A</v>
      </c>
      <c r="HP103" s="166" t="e">
        <f ca="1">Apoio!E254</f>
        <v>#N/A</v>
      </c>
      <c r="ID103" s="106"/>
      <c r="IE103" s="112"/>
      <c r="IF103" s="106"/>
      <c r="IQ103" s="107">
        <v>14</v>
      </c>
      <c r="IR103" s="107"/>
      <c r="IS103" s="542">
        <v>1941</v>
      </c>
    </row>
    <row r="104" spans="2:253" ht="2.25" customHeight="1" x14ac:dyDescent="0.2">
      <c r="B104" s="830"/>
      <c r="C104" s="830"/>
      <c r="D104" s="830"/>
      <c r="E104" s="830"/>
      <c r="F104" s="830"/>
      <c r="G104" s="830"/>
      <c r="H104" s="830"/>
      <c r="I104" s="830"/>
      <c r="J104" s="830"/>
      <c r="K104" s="830"/>
      <c r="L104" s="830"/>
      <c r="M104" s="830"/>
      <c r="N104" s="830"/>
      <c r="O104" s="830"/>
      <c r="P104" s="830"/>
      <c r="Q104" s="830"/>
      <c r="R104" s="830"/>
      <c r="S104" s="830"/>
      <c r="T104" s="830"/>
      <c r="U104" s="830"/>
      <c r="V104" s="830"/>
      <c r="W104" s="830"/>
      <c r="HM104" s="110">
        <f>Apoio!B255</f>
        <v>6</v>
      </c>
      <c r="HN104" s="164" t="e">
        <f>Apoio!C255</f>
        <v>#N/A</v>
      </c>
      <c r="HO104" s="165" t="e">
        <f>Apoio!D255</f>
        <v>#N/A</v>
      </c>
      <c r="HP104" s="166" t="e">
        <f ca="1">Apoio!E255</f>
        <v>#N/A</v>
      </c>
      <c r="ID104" s="106"/>
      <c r="IE104" s="112"/>
      <c r="IF104" s="106"/>
      <c r="IQ104" s="107">
        <v>15</v>
      </c>
      <c r="IR104" s="107"/>
      <c r="IS104" s="542">
        <v>1942</v>
      </c>
    </row>
    <row r="105" spans="2:253" ht="9.9499999999999993" customHeight="1" x14ac:dyDescent="0.2">
      <c r="B105" s="830"/>
      <c r="C105" s="830"/>
      <c r="D105" s="830"/>
      <c r="E105" s="830"/>
      <c r="F105" s="830"/>
      <c r="G105" s="830"/>
      <c r="H105" s="830"/>
      <c r="I105" s="830"/>
      <c r="J105" s="830"/>
      <c r="K105" s="830"/>
      <c r="L105" s="830"/>
      <c r="M105" s="830"/>
      <c r="N105" s="830"/>
      <c r="O105" s="830"/>
      <c r="P105" s="830"/>
      <c r="Q105" s="830"/>
      <c r="R105" s="830"/>
      <c r="S105" s="830"/>
      <c r="T105" s="830"/>
      <c r="U105" s="830"/>
      <c r="V105" s="830"/>
      <c r="W105" s="830"/>
      <c r="HM105" s="110">
        <f>Apoio!B256</f>
        <v>7</v>
      </c>
      <c r="HN105" s="164" t="e">
        <f>Apoio!C256</f>
        <v>#N/A</v>
      </c>
      <c r="HO105" s="165" t="e">
        <f>Apoio!D256</f>
        <v>#N/A</v>
      </c>
      <c r="HP105" s="166" t="e">
        <f ca="1">Apoio!E256</f>
        <v>#N/A</v>
      </c>
      <c r="ID105" s="106"/>
      <c r="IE105" s="106"/>
      <c r="IF105" s="106"/>
      <c r="IQ105" s="107">
        <v>16</v>
      </c>
      <c r="IS105" s="542">
        <v>1943</v>
      </c>
    </row>
    <row r="106" spans="2:253" ht="9.9499999999999993" customHeight="1" x14ac:dyDescent="0.2">
      <c r="B106" s="830"/>
      <c r="C106" s="830"/>
      <c r="D106" s="830"/>
      <c r="E106" s="830"/>
      <c r="F106" s="830"/>
      <c r="G106" s="830"/>
      <c r="H106" s="830"/>
      <c r="I106" s="830"/>
      <c r="J106" s="830"/>
      <c r="K106" s="830"/>
      <c r="L106" s="830"/>
      <c r="M106" s="830"/>
      <c r="N106" s="830"/>
      <c r="O106" s="830"/>
      <c r="P106" s="830"/>
      <c r="Q106" s="830"/>
      <c r="R106" s="830"/>
      <c r="S106" s="830"/>
      <c r="T106" s="830"/>
      <c r="U106" s="830"/>
      <c r="V106" s="830"/>
      <c r="W106" s="830"/>
      <c r="HM106" s="110">
        <f>Apoio!B257</f>
        <v>8</v>
      </c>
      <c r="HN106" s="164" t="e">
        <f>Apoio!C257</f>
        <v>#N/A</v>
      </c>
      <c r="HO106" s="165" t="e">
        <f>Apoio!D257</f>
        <v>#N/A</v>
      </c>
      <c r="HP106" s="166" t="e">
        <f ca="1">Apoio!E257</f>
        <v>#N/A</v>
      </c>
      <c r="ID106" s="106"/>
      <c r="IE106" s="106"/>
      <c r="IF106" s="106"/>
      <c r="IQ106" s="107">
        <v>17</v>
      </c>
      <c r="IS106" s="542">
        <v>1944</v>
      </c>
    </row>
    <row r="107" spans="2:253" ht="12.75" customHeight="1" x14ac:dyDescent="0.2">
      <c r="B107" s="830"/>
      <c r="C107" s="830"/>
      <c r="D107" s="830"/>
      <c r="E107" s="830"/>
      <c r="F107" s="830"/>
      <c r="G107" s="830"/>
      <c r="H107" s="830"/>
      <c r="I107" s="830"/>
      <c r="J107" s="830"/>
      <c r="K107" s="830"/>
      <c r="L107" s="830"/>
      <c r="M107" s="830"/>
      <c r="N107" s="830"/>
      <c r="O107" s="830"/>
      <c r="P107" s="830"/>
      <c r="Q107" s="830"/>
      <c r="R107" s="830"/>
      <c r="S107" s="830"/>
      <c r="T107" s="830"/>
      <c r="U107" s="830"/>
      <c r="V107" s="830"/>
      <c r="W107" s="830"/>
      <c r="HM107" s="110">
        <f>Apoio!B258</f>
        <v>9</v>
      </c>
      <c r="HN107" s="164" t="e">
        <f>Apoio!C258</f>
        <v>#N/A</v>
      </c>
      <c r="HO107" s="165" t="e">
        <f>Apoio!D258</f>
        <v>#N/A</v>
      </c>
      <c r="HP107" s="166" t="e">
        <f ca="1">Apoio!E258</f>
        <v>#N/A</v>
      </c>
      <c r="ID107" s="106"/>
      <c r="IE107" s="106"/>
      <c r="IF107" s="106"/>
      <c r="IQ107" s="107">
        <v>18</v>
      </c>
      <c r="IS107" s="542">
        <v>1945</v>
      </c>
    </row>
    <row r="108" spans="2:253" ht="12.75" customHeight="1" x14ac:dyDescent="0.2">
      <c r="B108" s="841" t="s">
        <v>237</v>
      </c>
      <c r="C108" s="841"/>
      <c r="D108" s="841"/>
      <c r="E108" s="841"/>
      <c r="F108" s="841"/>
      <c r="G108" s="841"/>
      <c r="H108" s="841"/>
      <c r="I108" s="841"/>
      <c r="J108" s="841"/>
      <c r="K108" s="841"/>
      <c r="L108" s="841"/>
      <c r="M108" s="841"/>
      <c r="N108" s="841"/>
      <c r="O108" s="841"/>
      <c r="P108" s="841"/>
      <c r="Q108" s="841"/>
      <c r="R108" s="841"/>
      <c r="S108" s="841"/>
      <c r="T108" s="841"/>
      <c r="U108" s="841"/>
      <c r="V108" s="841"/>
      <c r="W108" s="841"/>
      <c r="AG108" s="841" t="s">
        <v>196</v>
      </c>
      <c r="AH108" s="841"/>
      <c r="AI108" s="841"/>
      <c r="AJ108" s="841"/>
      <c r="AK108" s="841"/>
      <c r="AL108" s="841"/>
      <c r="AM108" s="841"/>
      <c r="AN108" s="841"/>
      <c r="AO108" s="841"/>
      <c r="AP108" s="841"/>
      <c r="AQ108" s="841"/>
      <c r="AR108" s="841"/>
      <c r="AS108" s="841"/>
      <c r="AT108" s="841"/>
      <c r="AU108" s="841"/>
      <c r="AV108" s="841"/>
      <c r="AW108" s="841"/>
      <c r="AX108" s="841"/>
      <c r="AY108" s="841"/>
      <c r="AZ108" s="841"/>
      <c r="BA108" s="841"/>
      <c r="BB108" s="841"/>
      <c r="HM108" s="110">
        <f>Apoio!B259</f>
        <v>10</v>
      </c>
      <c r="HN108" s="164" t="e">
        <f>Apoio!C259</f>
        <v>#N/A</v>
      </c>
      <c r="HO108" s="165" t="e">
        <f>Apoio!D259</f>
        <v>#N/A</v>
      </c>
      <c r="HP108" s="166" t="e">
        <f ca="1">Apoio!E259</f>
        <v>#N/A</v>
      </c>
      <c r="ID108" s="106"/>
      <c r="IE108" s="106"/>
      <c r="IF108" s="106"/>
      <c r="IQ108" s="107">
        <v>19</v>
      </c>
      <c r="IS108" s="542">
        <v>1946</v>
      </c>
    </row>
    <row r="109" spans="2:253" ht="12.75" customHeight="1" x14ac:dyDescent="0.2">
      <c r="B109" s="841"/>
      <c r="C109" s="841"/>
      <c r="D109" s="841"/>
      <c r="E109" s="841"/>
      <c r="F109" s="841"/>
      <c r="G109" s="841"/>
      <c r="H109" s="841"/>
      <c r="I109" s="841"/>
      <c r="J109" s="841"/>
      <c r="K109" s="841"/>
      <c r="L109" s="841"/>
      <c r="M109" s="841"/>
      <c r="N109" s="841"/>
      <c r="O109" s="841"/>
      <c r="P109" s="841"/>
      <c r="Q109" s="841"/>
      <c r="R109" s="841"/>
      <c r="S109" s="841"/>
      <c r="T109" s="841"/>
      <c r="U109" s="841"/>
      <c r="V109" s="841"/>
      <c r="W109" s="841"/>
      <c r="AG109" s="841"/>
      <c r="AH109" s="841"/>
      <c r="AI109" s="841"/>
      <c r="AJ109" s="841"/>
      <c r="AK109" s="841"/>
      <c r="AL109" s="841"/>
      <c r="AM109" s="841"/>
      <c r="AN109" s="841"/>
      <c r="AO109" s="841"/>
      <c r="AP109" s="841"/>
      <c r="AQ109" s="841"/>
      <c r="AR109" s="841"/>
      <c r="AS109" s="841"/>
      <c r="AT109" s="841"/>
      <c r="AU109" s="841"/>
      <c r="AV109" s="841"/>
      <c r="AW109" s="841"/>
      <c r="AX109" s="841"/>
      <c r="AY109" s="841"/>
      <c r="AZ109" s="841"/>
      <c r="BA109" s="841"/>
      <c r="BB109" s="841"/>
      <c r="HM109" s="110">
        <f>Apoio!B260</f>
        <v>11</v>
      </c>
      <c r="HN109" s="164" t="e">
        <f>Apoio!C260</f>
        <v>#N/A</v>
      </c>
      <c r="HO109" s="165" t="e">
        <f>Apoio!D260</f>
        <v>#N/A</v>
      </c>
      <c r="HP109" s="166" t="e">
        <f ca="1">Apoio!E260</f>
        <v>#N/A</v>
      </c>
      <c r="ID109" s="106"/>
      <c r="IE109" s="106"/>
      <c r="IF109" s="106"/>
      <c r="IQ109" s="107">
        <v>20</v>
      </c>
      <c r="IS109" s="542">
        <v>1947</v>
      </c>
    </row>
    <row r="110" spans="2:253" ht="12.75" customHeight="1" x14ac:dyDescent="0.2">
      <c r="B110" s="841"/>
      <c r="C110" s="841"/>
      <c r="D110" s="841"/>
      <c r="E110" s="841"/>
      <c r="F110" s="841"/>
      <c r="G110" s="841"/>
      <c r="H110" s="841"/>
      <c r="I110" s="841"/>
      <c r="J110" s="841"/>
      <c r="K110" s="841"/>
      <c r="L110" s="841"/>
      <c r="M110" s="841"/>
      <c r="N110" s="841"/>
      <c r="O110" s="841"/>
      <c r="P110" s="841"/>
      <c r="Q110" s="841"/>
      <c r="R110" s="841"/>
      <c r="S110" s="841"/>
      <c r="T110" s="841"/>
      <c r="U110" s="841"/>
      <c r="V110" s="841"/>
      <c r="W110" s="841"/>
      <c r="AG110" s="841"/>
      <c r="AH110" s="841"/>
      <c r="AI110" s="841"/>
      <c r="AJ110" s="841"/>
      <c r="AK110" s="841"/>
      <c r="AL110" s="841"/>
      <c r="AM110" s="841"/>
      <c r="AN110" s="841"/>
      <c r="AO110" s="841"/>
      <c r="AP110" s="841"/>
      <c r="AQ110" s="841"/>
      <c r="AR110" s="841"/>
      <c r="AS110" s="841"/>
      <c r="AT110" s="841"/>
      <c r="AU110" s="841"/>
      <c r="AV110" s="841"/>
      <c r="AW110" s="841"/>
      <c r="AX110" s="841"/>
      <c r="AY110" s="841"/>
      <c r="AZ110" s="841"/>
      <c r="BA110" s="841"/>
      <c r="BB110" s="841"/>
      <c r="HM110" s="110">
        <f>Apoio!B261</f>
        <v>12</v>
      </c>
      <c r="HN110" s="164" t="e">
        <f>Apoio!C261</f>
        <v>#N/A</v>
      </c>
      <c r="HO110" s="165" t="e">
        <f>Apoio!D261</f>
        <v>#N/A</v>
      </c>
      <c r="HP110" s="166" t="e">
        <f ca="1">Apoio!E261</f>
        <v>#N/A</v>
      </c>
      <c r="ID110" s="106"/>
      <c r="IE110" s="106"/>
      <c r="IF110" s="106"/>
      <c r="IQ110" s="107">
        <v>21</v>
      </c>
      <c r="IS110" s="542">
        <v>1948</v>
      </c>
    </row>
    <row r="111" spans="2:253" ht="12.75" customHeight="1" x14ac:dyDescent="0.2">
      <c r="HM111" s="110">
        <f>Apoio!B262</f>
        <v>13</v>
      </c>
      <c r="HN111" s="164" t="e">
        <f>Apoio!C262</f>
        <v>#N/A</v>
      </c>
      <c r="HO111" s="165" t="e">
        <f>Apoio!D262</f>
        <v>#N/A</v>
      </c>
      <c r="HP111" s="166" t="e">
        <f ca="1">Apoio!E262</f>
        <v>#N/A</v>
      </c>
      <c r="ID111" s="106"/>
      <c r="IE111" s="106"/>
      <c r="IF111" s="106"/>
      <c r="IQ111" s="107">
        <v>22</v>
      </c>
      <c r="IS111" s="542">
        <v>1949</v>
      </c>
    </row>
    <row r="112" spans="2:253" ht="12.75" customHeight="1" x14ac:dyDescent="0.2">
      <c r="C112" s="819" t="s">
        <v>263</v>
      </c>
      <c r="D112" s="819"/>
      <c r="E112" s="290"/>
      <c r="F112" s="819" t="s">
        <v>183</v>
      </c>
      <c r="G112" s="819"/>
      <c r="H112" s="819"/>
      <c r="I112" s="819"/>
      <c r="J112" s="819" t="s">
        <v>197</v>
      </c>
      <c r="K112" s="819"/>
      <c r="L112" s="819"/>
      <c r="M112" s="819"/>
      <c r="N112" s="819" t="s">
        <v>198</v>
      </c>
      <c r="O112" s="819"/>
      <c r="P112" s="819"/>
      <c r="Q112" s="819"/>
      <c r="R112" s="819"/>
      <c r="S112" s="819" t="s">
        <v>228</v>
      </c>
      <c r="T112" s="819"/>
      <c r="U112" s="819"/>
      <c r="V112" s="182"/>
      <c r="AH112" s="862" t="s">
        <v>227</v>
      </c>
      <c r="AI112" s="863"/>
      <c r="AK112" s="862" t="s">
        <v>181</v>
      </c>
      <c r="AL112" s="956"/>
      <c r="AM112" s="956"/>
      <c r="AN112" s="863"/>
      <c r="AO112" s="931" t="s">
        <v>180</v>
      </c>
      <c r="AP112" s="931"/>
      <c r="AQ112" s="931"/>
      <c r="AR112" s="931"/>
      <c r="AS112" s="943" t="s">
        <v>178</v>
      </c>
      <c r="AT112" s="944"/>
      <c r="AU112" s="944"/>
      <c r="AV112" s="945"/>
      <c r="AW112" s="171"/>
      <c r="AX112" s="862" t="s">
        <v>179</v>
      </c>
      <c r="AY112" s="956"/>
      <c r="AZ112" s="863"/>
      <c r="IP112" s="89"/>
      <c r="IQ112" s="107">
        <v>23</v>
      </c>
      <c r="IS112" s="542">
        <v>1950</v>
      </c>
    </row>
    <row r="113" spans="2:253" ht="12.75" customHeight="1" x14ac:dyDescent="0.2">
      <c r="C113" s="819"/>
      <c r="D113" s="819"/>
      <c r="E113" s="290"/>
      <c r="F113" s="819"/>
      <c r="G113" s="819"/>
      <c r="H113" s="819"/>
      <c r="I113" s="819"/>
      <c r="J113" s="819"/>
      <c r="K113" s="819"/>
      <c r="L113" s="819"/>
      <c r="M113" s="819"/>
      <c r="N113" s="819"/>
      <c r="O113" s="819"/>
      <c r="P113" s="819"/>
      <c r="Q113" s="819"/>
      <c r="R113" s="819"/>
      <c r="S113" s="819"/>
      <c r="T113" s="819"/>
      <c r="U113" s="819"/>
      <c r="V113" s="182"/>
      <c r="AH113" s="862"/>
      <c r="AI113" s="863"/>
      <c r="AK113" s="862"/>
      <c r="AL113" s="956"/>
      <c r="AM113" s="956"/>
      <c r="AN113" s="863"/>
      <c r="AO113" s="931"/>
      <c r="AP113" s="931"/>
      <c r="AQ113" s="931"/>
      <c r="AR113" s="931"/>
      <c r="AS113" s="946"/>
      <c r="AT113" s="947"/>
      <c r="AU113" s="947"/>
      <c r="AV113" s="948"/>
      <c r="AW113" s="172"/>
      <c r="AX113" s="862"/>
      <c r="AY113" s="956"/>
      <c r="AZ113" s="863"/>
      <c r="HM113" s="110">
        <f>Apoio!B263</f>
        <v>14</v>
      </c>
      <c r="HN113" s="164" t="e">
        <f>Apoio!C263</f>
        <v>#N/A</v>
      </c>
      <c r="HO113" s="165" t="e">
        <f>Apoio!D263</f>
        <v>#N/A</v>
      </c>
      <c r="HP113" s="166" t="e">
        <f ca="1">Apoio!E263</f>
        <v>#N/A</v>
      </c>
      <c r="ID113" s="106"/>
      <c r="IE113" s="106"/>
      <c r="IF113" s="106"/>
      <c r="IQ113" s="107">
        <v>24</v>
      </c>
      <c r="IS113" s="542">
        <v>1951</v>
      </c>
    </row>
    <row r="114" spans="2:253" ht="12.75" customHeight="1" x14ac:dyDescent="0.2">
      <c r="C114" s="819"/>
      <c r="D114" s="819"/>
      <c r="E114" s="290"/>
      <c r="F114" s="819"/>
      <c r="G114" s="819"/>
      <c r="H114" s="819"/>
      <c r="I114" s="819"/>
      <c r="J114" s="819"/>
      <c r="K114" s="819"/>
      <c r="L114" s="819"/>
      <c r="M114" s="819"/>
      <c r="N114" s="819"/>
      <c r="O114" s="819"/>
      <c r="P114" s="819"/>
      <c r="Q114" s="819"/>
      <c r="R114" s="819"/>
      <c r="S114" s="819"/>
      <c r="T114" s="819"/>
      <c r="U114" s="819"/>
      <c r="V114" s="182"/>
      <c r="AH114" s="862"/>
      <c r="AI114" s="863"/>
      <c r="AK114" s="862"/>
      <c r="AL114" s="956"/>
      <c r="AM114" s="956"/>
      <c r="AN114" s="863"/>
      <c r="AO114" s="931"/>
      <c r="AP114" s="931"/>
      <c r="AQ114" s="931"/>
      <c r="AR114" s="931"/>
      <c r="AS114" s="946"/>
      <c r="AT114" s="947"/>
      <c r="AU114" s="947"/>
      <c r="AV114" s="948"/>
      <c r="AW114" s="172"/>
      <c r="AX114" s="862"/>
      <c r="AY114" s="956"/>
      <c r="AZ114" s="863"/>
      <c r="HM114" s="110">
        <f>Apoio!B264</f>
        <v>15</v>
      </c>
      <c r="HN114" s="164" t="e">
        <f>Apoio!C264</f>
        <v>#N/A</v>
      </c>
      <c r="HO114" s="165" t="e">
        <f>Apoio!D264</f>
        <v>#N/A</v>
      </c>
      <c r="HP114" s="166" t="e">
        <f ca="1">Apoio!E264</f>
        <v>#N/A</v>
      </c>
      <c r="ID114" s="106"/>
      <c r="IE114" s="106"/>
      <c r="IF114" s="106"/>
      <c r="IQ114" s="107">
        <v>25</v>
      </c>
      <c r="IS114" s="542">
        <v>1952</v>
      </c>
    </row>
    <row r="115" spans="2:253" ht="18" customHeight="1" x14ac:dyDescent="0.2">
      <c r="C115" s="819"/>
      <c r="D115" s="819"/>
      <c r="E115" s="290"/>
      <c r="F115" s="819"/>
      <c r="G115" s="819"/>
      <c r="H115" s="819"/>
      <c r="I115" s="819"/>
      <c r="J115" s="819"/>
      <c r="K115" s="819"/>
      <c r="L115" s="819"/>
      <c r="M115" s="819"/>
      <c r="N115" s="819"/>
      <c r="O115" s="819"/>
      <c r="P115" s="819"/>
      <c r="Q115" s="819"/>
      <c r="R115" s="819"/>
      <c r="S115" s="819"/>
      <c r="T115" s="819"/>
      <c r="U115" s="819"/>
      <c r="V115" s="182"/>
      <c r="AH115" s="862"/>
      <c r="AI115" s="863"/>
      <c r="AK115" s="862"/>
      <c r="AL115" s="956"/>
      <c r="AM115" s="956"/>
      <c r="AN115" s="863"/>
      <c r="AO115" s="931"/>
      <c r="AP115" s="931"/>
      <c r="AQ115" s="931"/>
      <c r="AR115" s="931"/>
      <c r="AS115" s="946"/>
      <c r="AT115" s="947"/>
      <c r="AU115" s="947"/>
      <c r="AV115" s="948"/>
      <c r="AW115" s="172"/>
      <c r="AX115" s="862"/>
      <c r="AY115" s="956"/>
      <c r="AZ115" s="863"/>
      <c r="BD115" s="922" t="s">
        <v>193</v>
      </c>
      <c r="BE115" s="923"/>
      <c r="BF115" s="924"/>
      <c r="BG115" s="922" t="s">
        <v>205</v>
      </c>
      <c r="BH115" s="923"/>
      <c r="BI115" s="924"/>
      <c r="BJ115" s="913" t="s">
        <v>101</v>
      </c>
      <c r="BK115" s="914"/>
      <c r="BL115" s="915"/>
      <c r="HM115" s="110">
        <f>Apoio!B265</f>
        <v>16</v>
      </c>
      <c r="HN115" s="164" t="e">
        <f>Apoio!C265</f>
        <v>#N/A</v>
      </c>
      <c r="HO115" s="165" t="e">
        <f>Apoio!D265</f>
        <v>#N/A</v>
      </c>
      <c r="HP115" s="166" t="e">
        <f ca="1">Apoio!E265</f>
        <v>#N/A</v>
      </c>
      <c r="ID115" s="106"/>
      <c r="IE115" s="106"/>
      <c r="IF115" s="106"/>
      <c r="IQ115" s="107">
        <v>26</v>
      </c>
      <c r="IS115" s="542">
        <v>1953</v>
      </c>
    </row>
    <row r="116" spans="2:253" ht="12.75" customHeight="1" x14ac:dyDescent="0.2">
      <c r="C116" s="819"/>
      <c r="D116" s="819"/>
      <c r="E116" s="290"/>
      <c r="F116" s="819"/>
      <c r="G116" s="819"/>
      <c r="H116" s="819"/>
      <c r="I116" s="819"/>
      <c r="J116" s="819"/>
      <c r="K116" s="819"/>
      <c r="L116" s="819"/>
      <c r="M116" s="819"/>
      <c r="N116" s="819"/>
      <c r="O116" s="819"/>
      <c r="P116" s="819"/>
      <c r="Q116" s="819"/>
      <c r="R116" s="819"/>
      <c r="S116" s="819"/>
      <c r="T116" s="819"/>
      <c r="U116" s="819"/>
      <c r="V116" s="182"/>
      <c r="AH116" s="862"/>
      <c r="AI116" s="863"/>
      <c r="AK116" s="862"/>
      <c r="AL116" s="956"/>
      <c r="AM116" s="956"/>
      <c r="AN116" s="863"/>
      <c r="AO116" s="931"/>
      <c r="AP116" s="931"/>
      <c r="AQ116" s="931"/>
      <c r="AR116" s="931"/>
      <c r="AS116" s="949"/>
      <c r="AT116" s="950"/>
      <c r="AU116" s="950"/>
      <c r="AV116" s="951"/>
      <c r="AW116" s="171"/>
      <c r="AX116" s="862"/>
      <c r="AY116" s="956"/>
      <c r="AZ116" s="863"/>
      <c r="BD116" s="925"/>
      <c r="BE116" s="926"/>
      <c r="BF116" s="927"/>
      <c r="BG116" s="925"/>
      <c r="BH116" s="926"/>
      <c r="BI116" s="927"/>
      <c r="BJ116" s="916"/>
      <c r="BK116" s="917"/>
      <c r="BL116" s="918"/>
      <c r="HM116" s="110">
        <f>Apoio!B266</f>
        <v>17</v>
      </c>
      <c r="HN116" s="164" t="e">
        <f>Apoio!C266</f>
        <v>#N/A</v>
      </c>
      <c r="HO116" s="165" t="e">
        <f>Apoio!D266</f>
        <v>#N/A</v>
      </c>
      <c r="HP116" s="166" t="e">
        <f ca="1">Apoio!E266</f>
        <v>#N/A</v>
      </c>
      <c r="ID116" s="106"/>
      <c r="IE116" s="106"/>
      <c r="IF116" s="106"/>
      <c r="IQ116" s="107">
        <v>27</v>
      </c>
      <c r="IS116" s="542">
        <v>1954</v>
      </c>
    </row>
    <row r="117" spans="2:253" ht="12.75" customHeight="1" x14ac:dyDescent="0.2">
      <c r="C117" s="868">
        <f ca="1">SUM(P91:R92)</f>
        <v>200224.8048901349</v>
      </c>
      <c r="D117" s="868"/>
      <c r="E117" s="181"/>
      <c r="F117" s="868">
        <f ca="1">P92</f>
        <v>135546.8048901349</v>
      </c>
      <c r="G117" s="868"/>
      <c r="H117" s="868"/>
      <c r="I117" s="868"/>
      <c r="J117" s="868">
        <f ca="1">IF(AA20=1,(F117/G30)+(F117*F28)+'Premissas e Calculos'!R32,-PMT((F28),$G$30,$F$117,0,0)+'Premissas e Calculos'!$R$32)</f>
        <v>1295.571943063487</v>
      </c>
      <c r="K117" s="868"/>
      <c r="L117" s="868"/>
      <c r="M117" s="868"/>
      <c r="N117" s="868">
        <f ca="1">IF(AA20=1,F117/G30+'Premissas e Calculos'!R32,J117)</f>
        <v>406.62930247259698</v>
      </c>
      <c r="O117" s="868"/>
      <c r="P117" s="868"/>
      <c r="Q117" s="868"/>
      <c r="R117" s="889"/>
      <c r="S117" s="867">
        <f>G30</f>
        <v>360</v>
      </c>
      <c r="T117" s="867"/>
      <c r="U117" s="867"/>
      <c r="AG117" s="173"/>
      <c r="AH117" s="869">
        <f>F20*90%</f>
        <v>4428</v>
      </c>
      <c r="AI117" s="870"/>
      <c r="AK117" s="869">
        <f>'Premissas e Calculos'!M19</f>
        <v>1328.3999999999999</v>
      </c>
      <c r="AL117" s="966"/>
      <c r="AM117" s="966"/>
      <c r="AN117" s="870"/>
      <c r="AO117" s="932">
        <f>Apoio!I248</f>
        <v>38</v>
      </c>
      <c r="AP117" s="932"/>
      <c r="AQ117" s="932"/>
      <c r="AR117" s="932"/>
      <c r="AS117" s="957" t="e">
        <f>(MAXA(IF(#REF!="Mensal",#REF!,0),IF(#REF!="Mensal",#REF!,0),IF(D85="Mensal",G85,0),IF(D87="mensal",G87,0))+(SUMIF(D76:D87,"anual",G76:G89)/12 +SUMIF(D76:D87,"semestral",G76:G89)/6+P89/(AO117+3)))</f>
        <v>#REF!</v>
      </c>
      <c r="AT117" s="958"/>
      <c r="AU117" s="958"/>
      <c r="AV117" s="959"/>
      <c r="AW117" s="174"/>
      <c r="AX117" s="939" t="e">
        <f>IF(AS117&gt;AK117,"Não Aprovado","Crédito Pré-Aprovado")</f>
        <v>#REF!</v>
      </c>
      <c r="AY117" s="940"/>
      <c r="AZ117" s="941"/>
      <c r="BD117" s="928"/>
      <c r="BE117" s="929"/>
      <c r="BF117" s="930"/>
      <c r="BG117" s="928"/>
      <c r="BH117" s="929"/>
      <c r="BI117" s="930"/>
      <c r="BJ117" s="919"/>
      <c r="BK117" s="920"/>
      <c r="BL117" s="921"/>
      <c r="HM117" s="110">
        <f>Apoio!B267</f>
        <v>18</v>
      </c>
      <c r="HN117" s="164" t="e">
        <f>Apoio!C267</f>
        <v>#N/A</v>
      </c>
      <c r="HO117" s="165" t="e">
        <f>Apoio!D267</f>
        <v>#N/A</v>
      </c>
      <c r="HP117" s="166" t="e">
        <f ca="1">Apoio!E267</f>
        <v>#N/A</v>
      </c>
      <c r="ID117" s="106"/>
      <c r="IE117" s="106"/>
      <c r="IF117" s="106"/>
      <c r="IQ117" s="107">
        <v>28</v>
      </c>
      <c r="IS117" s="542">
        <v>1955</v>
      </c>
    </row>
    <row r="118" spans="2:253" ht="21" customHeight="1" x14ac:dyDescent="0.2">
      <c r="C118" s="868"/>
      <c r="D118" s="868"/>
      <c r="E118" s="181"/>
      <c r="F118" s="868"/>
      <c r="G118" s="868"/>
      <c r="H118" s="868"/>
      <c r="I118" s="868"/>
      <c r="J118" s="868"/>
      <c r="K118" s="868"/>
      <c r="L118" s="868"/>
      <c r="M118" s="868"/>
      <c r="N118" s="868"/>
      <c r="O118" s="868"/>
      <c r="P118" s="868"/>
      <c r="Q118" s="868"/>
      <c r="R118" s="889"/>
      <c r="S118" s="867"/>
      <c r="T118" s="867"/>
      <c r="U118" s="867"/>
      <c r="AH118" s="869"/>
      <c r="AI118" s="870"/>
      <c r="AK118" s="869"/>
      <c r="AL118" s="966"/>
      <c r="AM118" s="966"/>
      <c r="AN118" s="870"/>
      <c r="AO118" s="932"/>
      <c r="AP118" s="932"/>
      <c r="AQ118" s="932"/>
      <c r="AR118" s="932"/>
      <c r="AS118" s="960"/>
      <c r="AT118" s="961"/>
      <c r="AU118" s="961"/>
      <c r="AV118" s="962"/>
      <c r="AW118" s="174"/>
      <c r="AX118" s="939"/>
      <c r="AY118" s="940"/>
      <c r="AZ118" s="941"/>
      <c r="BD118" s="942" t="e">
        <f ca="1">AS117+SUM(Apoio!E250:E289)/'Simulador CEF'!AO117</f>
        <v>#REF!</v>
      </c>
      <c r="BE118" s="942"/>
      <c r="BF118" s="942"/>
      <c r="BG118" s="952" t="e">
        <f ca="1">IF(BD118&gt;BJ118,"Parcela superior ao permitido. Aumentar a entrada ou o valor financiado.","Crédito Aprovado!")</f>
        <v>#REF!</v>
      </c>
      <c r="BH118" s="953"/>
      <c r="BI118" s="954"/>
      <c r="BJ118" s="933">
        <f ca="1">'Premissas e Calculos'!M17</f>
        <v>1425.2646021168168</v>
      </c>
      <c r="BK118" s="934"/>
      <c r="BL118" s="935"/>
      <c r="HM118" s="110">
        <f>Apoio!B268</f>
        <v>19</v>
      </c>
      <c r="HN118" s="164" t="e">
        <f>Apoio!C268</f>
        <v>#N/A</v>
      </c>
      <c r="HO118" s="165" t="e">
        <f>Apoio!D268</f>
        <v>#N/A</v>
      </c>
      <c r="HP118" s="166" t="e">
        <f ca="1">Apoio!E268</f>
        <v>#N/A</v>
      </c>
      <c r="ID118" s="106"/>
      <c r="IE118" s="106"/>
      <c r="IF118" s="106"/>
      <c r="IQ118" s="107">
        <v>29</v>
      </c>
      <c r="IS118" s="542">
        <v>1956</v>
      </c>
    </row>
    <row r="119" spans="2:253" ht="15.75" customHeight="1" x14ac:dyDescent="0.2">
      <c r="C119" s="868"/>
      <c r="D119" s="868"/>
      <c r="F119" s="868"/>
      <c r="G119" s="868"/>
      <c r="H119" s="868"/>
      <c r="I119" s="868"/>
      <c r="J119" s="868"/>
      <c r="K119" s="868"/>
      <c r="L119" s="868"/>
      <c r="M119" s="868"/>
      <c r="N119" s="868"/>
      <c r="O119" s="868"/>
      <c r="P119" s="868"/>
      <c r="Q119" s="868"/>
      <c r="R119" s="889"/>
      <c r="S119" s="867"/>
      <c r="T119" s="867"/>
      <c r="U119" s="867"/>
      <c r="BD119" s="942"/>
      <c r="BE119" s="942"/>
      <c r="BF119" s="942"/>
      <c r="BG119" s="846"/>
      <c r="BH119" s="955"/>
      <c r="BI119" s="847"/>
      <c r="BJ119" s="936"/>
      <c r="BK119" s="937"/>
      <c r="BL119" s="938"/>
      <c r="HM119" s="110">
        <f>Apoio!B269</f>
        <v>20</v>
      </c>
      <c r="HN119" s="164" t="e">
        <f>Apoio!C269</f>
        <v>#N/A</v>
      </c>
      <c r="HO119" s="165" t="e">
        <f>Apoio!D269</f>
        <v>#N/A</v>
      </c>
      <c r="HP119" s="166" t="e">
        <f ca="1">Apoio!E269</f>
        <v>#N/A</v>
      </c>
      <c r="ID119" s="106"/>
      <c r="IE119" s="106"/>
      <c r="IF119" s="106"/>
      <c r="IQ119" s="107">
        <v>30</v>
      </c>
      <c r="IS119" s="542">
        <v>1957</v>
      </c>
    </row>
    <row r="120" spans="2:253" ht="3" customHeight="1" x14ac:dyDescent="0.2">
      <c r="E120" s="175"/>
      <c r="F120" s="175"/>
      <c r="G120" s="175"/>
      <c r="H120" s="176"/>
      <c r="I120" s="177"/>
      <c r="J120" s="177"/>
      <c r="K120" s="178"/>
      <c r="L120" s="178"/>
      <c r="M120" s="177"/>
      <c r="N120" s="177"/>
      <c r="O120" s="177"/>
      <c r="P120" s="176"/>
      <c r="Q120" s="176"/>
      <c r="R120" s="176"/>
      <c r="HM120" s="110">
        <f>Apoio!B270</f>
        <v>21</v>
      </c>
      <c r="HN120" s="164" t="e">
        <f>Apoio!C270</f>
        <v>#N/A</v>
      </c>
      <c r="HO120" s="165" t="e">
        <f>Apoio!D270</f>
        <v>#N/A</v>
      </c>
      <c r="HP120" s="166" t="e">
        <f ca="1">Apoio!E270</f>
        <v>#N/A</v>
      </c>
      <c r="IQ120" s="107">
        <v>31</v>
      </c>
      <c r="IS120" s="542">
        <v>1958</v>
      </c>
    </row>
    <row r="121" spans="2:253" ht="5.25" customHeight="1" x14ac:dyDescent="0.2">
      <c r="E121" s="179"/>
      <c r="F121" s="179"/>
      <c r="G121" s="179"/>
      <c r="I121" s="180"/>
      <c r="J121" s="180"/>
      <c r="M121" s="180"/>
      <c r="N121" s="180"/>
      <c r="O121" s="180"/>
      <c r="HM121" s="110">
        <f>Apoio!B271</f>
        <v>22</v>
      </c>
      <c r="HN121" s="164" t="e">
        <f>Apoio!C271</f>
        <v>#N/A</v>
      </c>
      <c r="HO121" s="165" t="e">
        <f>Apoio!D271</f>
        <v>#N/A</v>
      </c>
      <c r="HP121" s="166" t="e">
        <f ca="1">Apoio!E271</f>
        <v>#N/A</v>
      </c>
      <c r="IQ121" s="107"/>
      <c r="IS121" s="542">
        <v>1959</v>
      </c>
    </row>
    <row r="122" spans="2:253" ht="9.75" customHeight="1" x14ac:dyDescent="0.2">
      <c r="HM122" s="110">
        <f>Apoio!B272</f>
        <v>23</v>
      </c>
      <c r="HN122" s="164" t="e">
        <f>Apoio!C272</f>
        <v>#N/A</v>
      </c>
      <c r="HO122" s="165" t="e">
        <f>Apoio!D272</f>
        <v>#N/A</v>
      </c>
      <c r="HP122" s="166" t="e">
        <f ca="1">Apoio!E272</f>
        <v>#N/A</v>
      </c>
      <c r="IQ122" s="107"/>
      <c r="IS122" s="542">
        <v>1960</v>
      </c>
    </row>
    <row r="123" spans="2:253" ht="16.5" customHeight="1" x14ac:dyDescent="0.2">
      <c r="B123" s="841" t="s">
        <v>238</v>
      </c>
      <c r="C123" s="841"/>
      <c r="D123" s="841"/>
      <c r="E123" s="841"/>
      <c r="F123" s="841"/>
      <c r="G123" s="841"/>
      <c r="H123" s="841"/>
      <c r="I123" s="841"/>
      <c r="J123" s="841"/>
      <c r="K123" s="841"/>
      <c r="L123" s="841"/>
      <c r="M123" s="841"/>
      <c r="N123" s="841"/>
      <c r="O123" s="841"/>
      <c r="P123" s="841"/>
      <c r="Q123" s="841"/>
      <c r="R123" s="841"/>
      <c r="S123" s="841"/>
      <c r="T123" s="841"/>
      <c r="U123" s="841"/>
      <c r="V123" s="841"/>
      <c r="W123" s="841"/>
      <c r="HM123" s="110">
        <f>Apoio!B273</f>
        <v>24</v>
      </c>
      <c r="HN123" s="164" t="e">
        <f>Apoio!C273</f>
        <v>#N/A</v>
      </c>
      <c r="HO123" s="165" t="e">
        <f>Apoio!D273</f>
        <v>#N/A</v>
      </c>
      <c r="HP123" s="166" t="e">
        <f ca="1">Apoio!E273</f>
        <v>#N/A</v>
      </c>
      <c r="IQ123" s="107"/>
      <c r="IS123" s="542">
        <v>1961</v>
      </c>
    </row>
    <row r="124" spans="2:253" ht="9" customHeight="1" x14ac:dyDescent="0.2">
      <c r="B124" s="841"/>
      <c r="C124" s="841"/>
      <c r="D124" s="841"/>
      <c r="E124" s="841"/>
      <c r="F124" s="841"/>
      <c r="G124" s="841"/>
      <c r="H124" s="841"/>
      <c r="I124" s="841"/>
      <c r="J124" s="841"/>
      <c r="K124" s="841"/>
      <c r="L124" s="841"/>
      <c r="M124" s="841"/>
      <c r="N124" s="841"/>
      <c r="O124" s="841"/>
      <c r="P124" s="841"/>
      <c r="Q124" s="841"/>
      <c r="R124" s="841"/>
      <c r="S124" s="841"/>
      <c r="T124" s="841"/>
      <c r="U124" s="841"/>
      <c r="V124" s="841"/>
      <c r="W124" s="841"/>
      <c r="HM124" s="110">
        <f>Apoio!B274</f>
        <v>25</v>
      </c>
      <c r="HN124" s="164" t="e">
        <f>Apoio!C274</f>
        <v>#N/A</v>
      </c>
      <c r="HO124" s="165" t="e">
        <f>Apoio!D274</f>
        <v>#N/A</v>
      </c>
      <c r="HP124" s="166" t="e">
        <f ca="1">Apoio!E274</f>
        <v>#N/A</v>
      </c>
      <c r="IQ124" s="107"/>
      <c r="IS124" s="542">
        <v>1962</v>
      </c>
    </row>
    <row r="125" spans="2:253" ht="12.75" customHeight="1" x14ac:dyDescent="0.2">
      <c r="B125" s="841"/>
      <c r="C125" s="841"/>
      <c r="D125" s="841"/>
      <c r="E125" s="841"/>
      <c r="F125" s="841"/>
      <c r="G125" s="841"/>
      <c r="H125" s="841"/>
      <c r="I125" s="841"/>
      <c r="J125" s="841"/>
      <c r="K125" s="841"/>
      <c r="L125" s="841"/>
      <c r="M125" s="841"/>
      <c r="N125" s="841"/>
      <c r="O125" s="841"/>
      <c r="P125" s="841"/>
      <c r="Q125" s="841"/>
      <c r="R125" s="841"/>
      <c r="S125" s="841"/>
      <c r="T125" s="841"/>
      <c r="U125" s="841"/>
      <c r="V125" s="841"/>
      <c r="W125" s="841"/>
      <c r="HM125" s="110">
        <f>Apoio!B275</f>
        <v>26</v>
      </c>
      <c r="HN125" s="164" t="e">
        <f>Apoio!C275</f>
        <v>#N/A</v>
      </c>
      <c r="HO125" s="165" t="e">
        <f>Apoio!D275</f>
        <v>#N/A</v>
      </c>
      <c r="HP125" s="166" t="e">
        <f ca="1">Apoio!E275</f>
        <v>#N/A</v>
      </c>
      <c r="IQ125" s="107"/>
      <c r="IS125" s="542">
        <v>1963</v>
      </c>
    </row>
    <row r="126" spans="2:253" ht="12.75" customHeight="1" x14ac:dyDescent="0.2">
      <c r="IP126" s="89"/>
      <c r="IQ126" s="107"/>
      <c r="IS126" s="542">
        <v>1964</v>
      </c>
    </row>
    <row r="127" spans="2:253" ht="12.75" customHeight="1" x14ac:dyDescent="0.2">
      <c r="AH127" s="864" t="s">
        <v>233</v>
      </c>
      <c r="AI127" s="865"/>
      <c r="AJ127" s="865"/>
      <c r="AK127" s="866"/>
      <c r="AM127" s="856" t="s">
        <v>230</v>
      </c>
      <c r="AN127" s="856"/>
      <c r="AO127" s="856"/>
      <c r="AP127" s="856"/>
      <c r="AQ127" s="856"/>
      <c r="AR127" s="856" t="s">
        <v>231</v>
      </c>
      <c r="AS127" s="856"/>
      <c r="AT127" s="856"/>
      <c r="HM127" s="110">
        <f>Apoio!B276</f>
        <v>27</v>
      </c>
      <c r="HN127" s="164">
        <f>Apoio!C276</f>
        <v>240000</v>
      </c>
      <c r="HO127" s="165">
        <f>Apoio!D276</f>
        <v>240000</v>
      </c>
      <c r="HP127" s="166" t="e">
        <f ca="1">Apoio!E276</f>
        <v>#N/A</v>
      </c>
      <c r="IQ127" s="107"/>
      <c r="IS127" s="542">
        <v>1965</v>
      </c>
    </row>
    <row r="128" spans="2:253" ht="12.75" customHeight="1" x14ac:dyDescent="0.2">
      <c r="F128" s="819" t="s">
        <v>235</v>
      </c>
      <c r="G128" s="819"/>
      <c r="H128" s="819"/>
      <c r="I128" s="819"/>
      <c r="J128" s="819"/>
      <c r="K128" s="819"/>
      <c r="L128" s="819" t="s">
        <v>232</v>
      </c>
      <c r="M128" s="819"/>
      <c r="N128" s="819"/>
      <c r="O128" s="819"/>
      <c r="P128" s="819"/>
      <c r="AH128" s="864"/>
      <c r="AI128" s="865"/>
      <c r="AJ128" s="865"/>
      <c r="AK128" s="866"/>
      <c r="AM128" s="856"/>
      <c r="AN128" s="856"/>
      <c r="AO128" s="856"/>
      <c r="AP128" s="856"/>
      <c r="AQ128" s="856"/>
      <c r="AR128" s="856"/>
      <c r="AS128" s="856"/>
      <c r="AT128" s="856"/>
      <c r="HM128" s="110">
        <f>Apoio!B277</f>
        <v>28</v>
      </c>
      <c r="HN128" s="164">
        <f>Apoio!C277</f>
        <v>240000</v>
      </c>
      <c r="HO128" s="165">
        <f>Apoio!D277</f>
        <v>240000</v>
      </c>
      <c r="HP128" s="166" t="e">
        <f ca="1">Apoio!E277</f>
        <v>#N/A</v>
      </c>
      <c r="IQ128" s="107"/>
      <c r="IS128" s="542">
        <v>1966</v>
      </c>
    </row>
    <row r="129" spans="2:253" ht="22.5" customHeight="1" x14ac:dyDescent="0.2">
      <c r="F129" s="819"/>
      <c r="G129" s="819"/>
      <c r="H129" s="819"/>
      <c r="I129" s="819"/>
      <c r="J129" s="819"/>
      <c r="K129" s="819"/>
      <c r="L129" s="819"/>
      <c r="M129" s="819"/>
      <c r="N129" s="819"/>
      <c r="O129" s="819"/>
      <c r="P129" s="819"/>
      <c r="AH129" s="864"/>
      <c r="AI129" s="865"/>
      <c r="AJ129" s="865"/>
      <c r="AK129" s="866"/>
      <c r="AM129" s="856"/>
      <c r="AN129" s="856"/>
      <c r="AO129" s="856"/>
      <c r="AP129" s="856"/>
      <c r="AQ129" s="856"/>
      <c r="AR129" s="856"/>
      <c r="AS129" s="856"/>
      <c r="AT129" s="856"/>
      <c r="HM129" s="110">
        <f>Apoio!B278</f>
        <v>29</v>
      </c>
      <c r="HN129" s="164">
        <f>Apoio!C278</f>
        <v>240000</v>
      </c>
      <c r="HO129" s="165">
        <f>Apoio!D278</f>
        <v>240000</v>
      </c>
      <c r="HP129" s="166" t="e">
        <f ca="1">Apoio!E278</f>
        <v>#N/A</v>
      </c>
      <c r="IQ129" s="107"/>
      <c r="IS129" s="542">
        <v>1967</v>
      </c>
    </row>
    <row r="130" spans="2:253" ht="22.5" customHeight="1" x14ac:dyDescent="0.2">
      <c r="F130" s="819"/>
      <c r="G130" s="819"/>
      <c r="H130" s="819"/>
      <c r="I130" s="819"/>
      <c r="J130" s="819"/>
      <c r="K130" s="819"/>
      <c r="L130" s="819"/>
      <c r="M130" s="819"/>
      <c r="N130" s="819"/>
      <c r="O130" s="819"/>
      <c r="P130" s="819"/>
      <c r="AH130" s="963" t="e">
        <f ca="1">SUM(J156:L195)/(Apoio!F248-AO147)</f>
        <v>#N/A</v>
      </c>
      <c r="AI130" s="964"/>
      <c r="AJ130" s="964"/>
      <c r="AK130" s="965"/>
      <c r="AM130" s="861" t="e">
        <f ca="1">SUM(S156:T195)/(AO117-E64)</f>
        <v>#N/A</v>
      </c>
      <c r="AN130" s="861"/>
      <c r="AO130" s="861"/>
      <c r="AP130" s="861"/>
      <c r="AQ130" s="861"/>
      <c r="AR130" s="861" t="e">
        <f ca="1">LARGE(S156:T195,1)</f>
        <v>#N/A</v>
      </c>
      <c r="AS130" s="861"/>
      <c r="AT130" s="861"/>
      <c r="HM130" s="110">
        <f>Apoio!B279</f>
        <v>30</v>
      </c>
      <c r="HN130" s="164">
        <f>Apoio!C279</f>
        <v>240000</v>
      </c>
      <c r="HO130" s="165">
        <f>Apoio!D279</f>
        <v>240000</v>
      </c>
      <c r="HP130" s="166" t="e">
        <f ca="1">Apoio!E279</f>
        <v>#N/A</v>
      </c>
      <c r="IQ130" s="107"/>
      <c r="IS130" s="542">
        <v>1968</v>
      </c>
    </row>
    <row r="131" spans="2:253" ht="12.75" customHeight="1" x14ac:dyDescent="0.2">
      <c r="F131" s="967">
        <f ca="1">L131*15%</f>
        <v>131.34485393854072</v>
      </c>
      <c r="G131" s="967"/>
      <c r="H131" s="967"/>
      <c r="I131" s="967"/>
      <c r="J131" s="967"/>
      <c r="K131" s="967"/>
      <c r="L131" s="868">
        <f ca="1">F117*0.95*(F26/12)</f>
        <v>875.63235959027145</v>
      </c>
      <c r="M131" s="868"/>
      <c r="N131" s="868"/>
      <c r="O131" s="868"/>
      <c r="P131" s="868"/>
      <c r="AH131" s="963"/>
      <c r="AI131" s="964"/>
      <c r="AJ131" s="964"/>
      <c r="AK131" s="965"/>
      <c r="AM131" s="861"/>
      <c r="AN131" s="861"/>
      <c r="AO131" s="861"/>
      <c r="AP131" s="861"/>
      <c r="AQ131" s="861"/>
      <c r="AR131" s="861"/>
      <c r="AS131" s="861"/>
      <c r="AT131" s="861"/>
      <c r="HM131" s="110">
        <f>Apoio!B280</f>
        <v>31</v>
      </c>
      <c r="HN131" s="164">
        <f>Apoio!C280</f>
        <v>240000</v>
      </c>
      <c r="HO131" s="165">
        <f>Apoio!D280</f>
        <v>240000</v>
      </c>
      <c r="HP131" s="166" t="e">
        <f ca="1">Apoio!E280</f>
        <v>#N/A</v>
      </c>
      <c r="IQ131" s="107"/>
      <c r="IS131" s="542">
        <v>1969</v>
      </c>
    </row>
    <row r="132" spans="2:253" ht="43.5" customHeight="1" x14ac:dyDescent="0.2">
      <c r="F132" s="967"/>
      <c r="G132" s="967"/>
      <c r="H132" s="967"/>
      <c r="I132" s="967"/>
      <c r="J132" s="967"/>
      <c r="K132" s="967"/>
      <c r="L132" s="868"/>
      <c r="M132" s="868"/>
      <c r="N132" s="868"/>
      <c r="O132" s="868"/>
      <c r="P132" s="868"/>
      <c r="HM132" s="110">
        <f>Apoio!B281</f>
        <v>32</v>
      </c>
      <c r="HN132" s="164">
        <f>Apoio!C281</f>
        <v>240000</v>
      </c>
      <c r="HO132" s="165">
        <f>Apoio!D281</f>
        <v>240000</v>
      </c>
      <c r="HP132" s="166" t="e">
        <f ca="1">Apoio!E281</f>
        <v>#N/A</v>
      </c>
      <c r="IS132" s="542">
        <v>1970</v>
      </c>
    </row>
    <row r="133" spans="2:253" ht="12.75" customHeight="1" x14ac:dyDescent="0.2">
      <c r="HM133" s="110">
        <f>Apoio!B282</f>
        <v>33</v>
      </c>
      <c r="HN133" s="164">
        <f>Apoio!C282</f>
        <v>240000</v>
      </c>
      <c r="HO133" s="165">
        <f>Apoio!D282</f>
        <v>240000</v>
      </c>
      <c r="HP133" s="166" t="e">
        <f ca="1">Apoio!E282</f>
        <v>#N/A</v>
      </c>
      <c r="IS133" s="542">
        <v>1971</v>
      </c>
    </row>
    <row r="134" spans="2:253" ht="4.5" customHeight="1" x14ac:dyDescent="0.2">
      <c r="C134" s="715"/>
      <c r="D134" s="715"/>
      <c r="E134" s="715"/>
      <c r="F134" s="715"/>
      <c r="G134" s="716"/>
      <c r="H134" s="716"/>
      <c r="I134" s="716"/>
      <c r="J134" s="716"/>
      <c r="K134" s="716"/>
      <c r="L134" s="716"/>
      <c r="M134" s="716"/>
      <c r="N134" s="183"/>
      <c r="O134" s="715"/>
      <c r="P134" s="715"/>
      <c r="Q134" s="715"/>
      <c r="R134" s="174"/>
      <c r="S134" s="184"/>
      <c r="T134" s="184"/>
      <c r="U134" s="184"/>
      <c r="HM134" s="110"/>
      <c r="HN134" s="164"/>
      <c r="HO134" s="165"/>
      <c r="HP134" s="166"/>
      <c r="IS134" s="542">
        <v>1972</v>
      </c>
    </row>
    <row r="135" spans="2:253" ht="12.75" customHeight="1" x14ac:dyDescent="0.2">
      <c r="B135" s="890"/>
      <c r="C135" s="888"/>
      <c r="D135" s="888"/>
      <c r="G135" s="873"/>
      <c r="H135" s="873"/>
      <c r="I135" s="873"/>
      <c r="J135" s="873"/>
      <c r="K135" s="873"/>
      <c r="L135" s="873"/>
      <c r="M135" s="873"/>
      <c r="N135" s="183"/>
      <c r="R135" s="174"/>
      <c r="HM135" s="110">
        <f>Apoio!B283</f>
        <v>34</v>
      </c>
      <c r="HN135" s="164">
        <f>Apoio!C283</f>
        <v>240000</v>
      </c>
      <c r="HO135" s="165">
        <f>Apoio!D283</f>
        <v>240000</v>
      </c>
      <c r="HP135" s="166" t="e">
        <f ca="1">Apoio!E283</f>
        <v>#N/A</v>
      </c>
      <c r="IS135" s="542">
        <v>1973</v>
      </c>
    </row>
    <row r="136" spans="2:253" ht="3" customHeight="1" x14ac:dyDescent="0.2">
      <c r="B136" s="890"/>
      <c r="C136" s="888"/>
      <c r="D136" s="888"/>
      <c r="G136" s="873"/>
      <c r="H136" s="873"/>
      <c r="I136" s="873"/>
      <c r="J136" s="873"/>
      <c r="K136" s="873"/>
      <c r="L136" s="873"/>
      <c r="M136" s="873"/>
      <c r="N136" s="183"/>
      <c r="R136" s="174"/>
      <c r="HM136" s="110">
        <f>Apoio!B284</f>
        <v>35</v>
      </c>
      <c r="HN136" s="164">
        <f>Apoio!C284</f>
        <v>240000</v>
      </c>
      <c r="HO136" s="165">
        <f>Apoio!D284</f>
        <v>240000</v>
      </c>
      <c r="HP136" s="166" t="e">
        <f ca="1">Apoio!E284</f>
        <v>#N/A</v>
      </c>
      <c r="IS136" s="542">
        <v>1974</v>
      </c>
    </row>
    <row r="137" spans="2:253" ht="6" customHeight="1" x14ac:dyDescent="0.2">
      <c r="HM137" s="110">
        <f>Apoio!B285</f>
        <v>36</v>
      </c>
      <c r="HN137" s="164">
        <f>Apoio!C285</f>
        <v>240000</v>
      </c>
      <c r="HO137" s="165">
        <f>Apoio!D285</f>
        <v>240000</v>
      </c>
      <c r="HP137" s="166" t="e">
        <f ca="1">Apoio!E285</f>
        <v>#N/A</v>
      </c>
      <c r="IS137" s="542">
        <v>1975</v>
      </c>
    </row>
    <row r="138" spans="2:253" ht="9" customHeight="1" x14ac:dyDescent="0.2">
      <c r="HM138" s="110">
        <f>Apoio!B286</f>
        <v>37</v>
      </c>
      <c r="HN138" s="164">
        <f>Apoio!C286</f>
        <v>240000</v>
      </c>
      <c r="HO138" s="165">
        <f>Apoio!D286</f>
        <v>240000</v>
      </c>
      <c r="HP138" s="166" t="e">
        <f ca="1">Apoio!E286</f>
        <v>#N/A</v>
      </c>
      <c r="IS138" s="542">
        <v>1976</v>
      </c>
    </row>
    <row r="139" spans="2:253" ht="12.75" customHeight="1" x14ac:dyDescent="0.2">
      <c r="HM139" s="110">
        <f>Apoio!B287</f>
        <v>38</v>
      </c>
      <c r="HN139" s="164">
        <f>Apoio!C287</f>
        <v>240000</v>
      </c>
      <c r="HO139" s="165">
        <f>Apoio!D287</f>
        <v>240000</v>
      </c>
      <c r="HP139" s="166" t="e">
        <f ca="1">Apoio!E287</f>
        <v>#N/A</v>
      </c>
      <c r="IS139" s="542">
        <v>1977</v>
      </c>
    </row>
    <row r="140" spans="2:253" ht="12.75" customHeight="1" x14ac:dyDescent="0.2">
      <c r="HM140" s="110">
        <f>Apoio!B288</f>
        <v>39</v>
      </c>
      <c r="HN140" s="164">
        <f>Apoio!C288</f>
        <v>240000</v>
      </c>
      <c r="HO140" s="165">
        <f>Apoio!D288</f>
        <v>240000</v>
      </c>
      <c r="HP140" s="166" t="e">
        <f ca="1">Apoio!E288</f>
        <v>#N/A</v>
      </c>
      <c r="IS140" s="542">
        <v>1978</v>
      </c>
    </row>
    <row r="141" spans="2:253" ht="12.75" customHeight="1" x14ac:dyDescent="0.2">
      <c r="C141" s="891" t="s">
        <v>284</v>
      </c>
      <c r="D141" s="891"/>
      <c r="E141" s="891"/>
      <c r="F141" s="891"/>
      <c r="G141" s="891"/>
      <c r="H141" s="891"/>
      <c r="I141" s="891"/>
      <c r="J141" s="891"/>
      <c r="K141" s="891"/>
      <c r="L141" s="891"/>
      <c r="M141" s="891"/>
      <c r="N141" s="891"/>
      <c r="O141" s="891"/>
      <c r="P141" s="891"/>
      <c r="Q141" s="891"/>
      <c r="R141" s="891"/>
      <c r="S141" s="891"/>
      <c r="T141" s="891"/>
      <c r="U141" s="891"/>
      <c r="V141" s="891"/>
      <c r="W141" s="891"/>
      <c r="X141" s="891"/>
      <c r="HM141" s="110">
        <f>Apoio!B289</f>
        <v>40</v>
      </c>
      <c r="HN141" s="164">
        <f>Apoio!C289</f>
        <v>240000</v>
      </c>
      <c r="HO141" s="165">
        <f>Apoio!D289</f>
        <v>240000</v>
      </c>
      <c r="HP141" s="166" t="e">
        <f ca="1">Apoio!E289</f>
        <v>#N/A</v>
      </c>
      <c r="IS141" s="542">
        <v>1979</v>
      </c>
    </row>
    <row r="142" spans="2:253" ht="9.75" customHeight="1" x14ac:dyDescent="0.2">
      <c r="C142" s="891"/>
      <c r="D142" s="891"/>
      <c r="E142" s="891"/>
      <c r="F142" s="891"/>
      <c r="G142" s="891"/>
      <c r="H142" s="891"/>
      <c r="I142" s="891"/>
      <c r="J142" s="891"/>
      <c r="K142" s="891"/>
      <c r="L142" s="891"/>
      <c r="M142" s="891"/>
      <c r="N142" s="891"/>
      <c r="O142" s="891"/>
      <c r="P142" s="891"/>
      <c r="Q142" s="891"/>
      <c r="R142" s="891"/>
      <c r="S142" s="891"/>
      <c r="T142" s="891"/>
      <c r="U142" s="891"/>
      <c r="V142" s="891"/>
      <c r="W142" s="891"/>
      <c r="X142" s="891"/>
      <c r="IS142" s="542">
        <v>1980</v>
      </c>
    </row>
    <row r="143" spans="2:253" ht="23.25" customHeight="1" x14ac:dyDescent="0.2">
      <c r="C143" s="891"/>
      <c r="D143" s="891"/>
      <c r="E143" s="891"/>
      <c r="F143" s="891"/>
      <c r="G143" s="891"/>
      <c r="H143" s="891"/>
      <c r="I143" s="891"/>
      <c r="J143" s="891"/>
      <c r="K143" s="891"/>
      <c r="L143" s="891"/>
      <c r="M143" s="891"/>
      <c r="N143" s="891"/>
      <c r="O143" s="891"/>
      <c r="P143" s="891"/>
      <c r="Q143" s="891"/>
      <c r="R143" s="891"/>
      <c r="S143" s="891"/>
      <c r="T143" s="891"/>
      <c r="U143" s="891"/>
      <c r="V143" s="891"/>
      <c r="W143" s="891"/>
      <c r="X143" s="891"/>
      <c r="IS143" s="542">
        <v>1981</v>
      </c>
    </row>
    <row r="144" spans="2:253" ht="12.75" customHeight="1" x14ac:dyDescent="0.2">
      <c r="AO144" s="864" t="s">
        <v>204</v>
      </c>
      <c r="AP144" s="865"/>
      <c r="AQ144" s="866"/>
      <c r="IS144" s="542">
        <v>1982</v>
      </c>
    </row>
    <row r="145" spans="3:253" ht="19.5" customHeight="1" x14ac:dyDescent="0.2">
      <c r="AO145" s="864"/>
      <c r="AP145" s="865"/>
      <c r="AQ145" s="866"/>
      <c r="IS145" s="542">
        <v>1983</v>
      </c>
    </row>
    <row r="146" spans="3:253" ht="19.5" customHeight="1" x14ac:dyDescent="0.2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AO146" s="864"/>
      <c r="AP146" s="865"/>
      <c r="AQ146" s="866"/>
      <c r="IS146" s="542">
        <v>1984</v>
      </c>
    </row>
    <row r="147" spans="3:253" ht="20.25" hidden="1" customHeight="1" x14ac:dyDescent="0.2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AO147" s="871">
        <f>'Premissas e Calculos'!J30</f>
        <v>3</v>
      </c>
      <c r="AP147" s="857">
        <f ca="1">DATE(YEAR(I12),MONTH(I12)+AO147,DAY(I12))</f>
        <v>43893</v>
      </c>
      <c r="AQ147" s="858"/>
      <c r="IS147" s="542">
        <v>1985</v>
      </c>
    </row>
    <row r="148" spans="3:253" ht="20.25" hidden="1" customHeight="1" x14ac:dyDescent="0.2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AO148" s="872"/>
      <c r="AP148" s="859"/>
      <c r="AQ148" s="860"/>
      <c r="IS148" s="542">
        <v>1986</v>
      </c>
    </row>
    <row r="149" spans="3:253" ht="20.25" hidden="1" x14ac:dyDescent="0.2">
      <c r="F149" s="177"/>
      <c r="G149" s="177"/>
      <c r="H149" s="178"/>
      <c r="I149" s="177"/>
      <c r="J149" s="177"/>
      <c r="K149" s="177"/>
      <c r="L149" s="178"/>
      <c r="N149" s="177"/>
      <c r="O149" s="177"/>
      <c r="T149" s="185"/>
      <c r="IS149" s="542">
        <v>1987</v>
      </c>
    </row>
    <row r="150" spans="3:253" ht="19.5" hidden="1" customHeight="1" x14ac:dyDescent="0.2">
      <c r="M150" s="177"/>
      <c r="N150" s="177"/>
      <c r="O150" s="177"/>
      <c r="T150" s="185"/>
      <c r="IS150" s="542">
        <v>1988</v>
      </c>
    </row>
    <row r="151" spans="3:253" ht="24.95" hidden="1" customHeight="1" x14ac:dyDescent="0.2">
      <c r="Q151" s="1065"/>
      <c r="R151" s="1065"/>
      <c r="IS151" s="542">
        <v>1989</v>
      </c>
    </row>
    <row r="152" spans="3:253" hidden="1" x14ac:dyDescent="0.2">
      <c r="Q152" s="1065"/>
      <c r="R152" s="1065"/>
      <c r="IS152" s="542">
        <v>1990</v>
      </c>
    </row>
    <row r="153" spans="3:253" ht="12.75" hidden="1" customHeight="1" x14ac:dyDescent="0.2">
      <c r="F153" s="892" t="s">
        <v>173</v>
      </c>
      <c r="G153" s="892" t="s">
        <v>61</v>
      </c>
      <c r="H153" s="892"/>
      <c r="I153" s="892"/>
      <c r="J153" s="892" t="s">
        <v>175</v>
      </c>
      <c r="K153" s="892"/>
      <c r="L153" s="892"/>
      <c r="M153" s="844" t="s">
        <v>174</v>
      </c>
      <c r="N153" s="845"/>
      <c r="O153" s="892" t="s">
        <v>20</v>
      </c>
      <c r="P153" s="892"/>
      <c r="Q153" s="106"/>
      <c r="R153" s="106"/>
      <c r="S153" s="844" t="s">
        <v>234</v>
      </c>
      <c r="T153" s="845"/>
      <c r="AC153" s="105" t="s">
        <v>210</v>
      </c>
      <c r="AD153" s="105" t="s">
        <v>211</v>
      </c>
      <c r="AE153" s="105" t="s">
        <v>212</v>
      </c>
      <c r="AF153" s="105" t="s">
        <v>213</v>
      </c>
      <c r="AG153" s="105" t="s">
        <v>214</v>
      </c>
      <c r="AH153" s="105" t="s">
        <v>215</v>
      </c>
      <c r="AI153" s="105" t="s">
        <v>216</v>
      </c>
      <c r="AJ153" s="105" t="s">
        <v>217</v>
      </c>
      <c r="AK153" s="186" t="s">
        <v>218</v>
      </c>
      <c r="AL153" s="186" t="s">
        <v>219</v>
      </c>
      <c r="AM153" s="186" t="s">
        <v>220</v>
      </c>
      <c r="AN153" s="186"/>
      <c r="IS153" s="542">
        <v>1991</v>
      </c>
    </row>
    <row r="154" spans="3:253" ht="21" hidden="1" customHeight="1" x14ac:dyDescent="0.2">
      <c r="F154" s="892"/>
      <c r="G154" s="892"/>
      <c r="H154" s="892"/>
      <c r="I154" s="892"/>
      <c r="J154" s="892"/>
      <c r="K154" s="892"/>
      <c r="L154" s="892"/>
      <c r="M154" s="846"/>
      <c r="N154" s="847"/>
      <c r="O154" s="892"/>
      <c r="P154" s="892"/>
      <c r="Q154" s="106"/>
      <c r="R154" s="106"/>
      <c r="S154" s="846"/>
      <c r="T154" s="847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IS154" s="542">
        <v>1992</v>
      </c>
    </row>
    <row r="155" spans="3:253" hidden="1" x14ac:dyDescent="0.2">
      <c r="Q155" s="106"/>
      <c r="R155" s="106"/>
      <c r="AC155" s="105" t="e">
        <f>#REF!</f>
        <v>#REF!</v>
      </c>
      <c r="AD155" s="105" t="e">
        <f>IF(AND(AC155&gt;=#REF!,AC155&lt;(#REF!+#REF!*$A$76)),#REF!,0)</f>
        <v>#REF!</v>
      </c>
      <c r="AE155" s="105" t="e">
        <f>#REF!</f>
        <v>#REF!</v>
      </c>
      <c r="AF155" s="105" t="e">
        <f>IF(AND(AE155&gt;=#REF!,AE155&lt;(#REF!+#REF!*$A$83)),#REF!,0)</f>
        <v>#REF!</v>
      </c>
      <c r="AG155" s="105">
        <f>K85</f>
        <v>9</v>
      </c>
      <c r="AH155" s="105">
        <f>IF(AND(AG155&gt;=$K$85,AG155&lt;($K$85+$E$85*$A$85)),$G$85,0)</f>
        <v>0</v>
      </c>
      <c r="AI155" s="105">
        <f>K87</f>
        <v>5</v>
      </c>
      <c r="AJ155" s="105">
        <f>IF(AND(AI155&gt;=$K$87,AI155&lt;($K$87+$E$87*$A$87)),$G$87,0)</f>
        <v>0</v>
      </c>
      <c r="AK155" s="105">
        <v>1</v>
      </c>
      <c r="AL155" s="105" t="e">
        <f>IF(AND(AK155&gt;=$K$64,AK155&lt;($K$64+$E$64*$A$64)),$G$64,0)</f>
        <v>#N/A</v>
      </c>
      <c r="AM155" s="105">
        <v>1</v>
      </c>
      <c r="AN155" s="105">
        <f t="shared" ref="AN155:AN195" si="0">IF(AM155=$K$89,$G$89,0)</f>
        <v>0</v>
      </c>
      <c r="IS155" s="542">
        <v>1993</v>
      </c>
    </row>
    <row r="156" spans="3:253" ht="15" hidden="1" x14ac:dyDescent="0.2">
      <c r="F156" s="187">
        <v>1</v>
      </c>
      <c r="G156" s="874">
        <f ca="1">I12</f>
        <v>43802</v>
      </c>
      <c r="H156" s="875"/>
      <c r="I156" s="876"/>
      <c r="J156" s="809">
        <f>IF(F156&lt;=$AO$147,0,Apoio!E250)</f>
        <v>0</v>
      </c>
      <c r="K156" s="848"/>
      <c r="L156" s="810"/>
      <c r="M156" s="809" t="e">
        <f t="shared" ref="M156:M195" si="1">VLOOKUP(F156,$AE$155:$AF$336,2,FALSE)+VLOOKUP(F156,$AG$155:$AH$369,2,FALSE)+VLOOKUP(F156,$AI$155:$AJ$369,2,FALSE)+VLOOKUP(F156,$AK$155:$AL$369,2,FALSE)+VLOOKUP(F156,$AM$155:$AN$369,2,FALSE)+VLOOKUP(F156,$AC$155:$AD$369,2,FALSE)</f>
        <v>#N/A</v>
      </c>
      <c r="N156" s="810"/>
      <c r="O156" s="809" t="e">
        <f>M156+J156</f>
        <v>#N/A</v>
      </c>
      <c r="P156" s="810"/>
      <c r="Q156" s="842"/>
      <c r="R156" s="843"/>
      <c r="S156" s="809">
        <f t="shared" ref="S156:S195" si="2">VLOOKUP(F156,$AE$155:$AF$336,2,FALSE)+VLOOKUP(F156,$AG$155:$AH$369,2,FALSE)+VLOOKUP(F156,$AI$155:$AJ$369,2,FALSE)+VLOOKUP(F156,$AC$155:$AD$369,2,FALSE)+IF(F156&lt;=$AO$117,J156)</f>
        <v>0</v>
      </c>
      <c r="T156" s="810"/>
      <c r="AC156" s="105" t="e">
        <f>AC155+$A$76</f>
        <v>#REF!</v>
      </c>
      <c r="AD156" s="105" t="e">
        <f>IF(AND(AC156&gt;=#REF!,AC156&lt;(#REF!+#REF!*$A$76)),#REF!,0)</f>
        <v>#REF!</v>
      </c>
      <c r="AE156" s="105" t="e">
        <f>AE155+$A$83</f>
        <v>#REF!</v>
      </c>
      <c r="AF156" s="105" t="e">
        <f>IF(AND(AE156&gt;=#REF!,AE156&lt;(#REF!+#REF!*$A$83)),#REF!,0)</f>
        <v>#REF!</v>
      </c>
      <c r="AG156" s="105">
        <f>AG155+$A$85</f>
        <v>21</v>
      </c>
      <c r="AH156" s="105">
        <f t="shared" ref="AH156:AH195" si="3">IF(AND(AG156&gt;=$K$85,AG156&lt;($K$85+$E$85*$A$85)),$G$85,0)</f>
        <v>0</v>
      </c>
      <c r="AI156" s="105">
        <f>AI155+$A$87</f>
        <v>5</v>
      </c>
      <c r="AJ156" s="105">
        <f t="shared" ref="AJ156:AJ195" si="4">IF(AND(AI156&gt;=$K$87,AI156&lt;($K$87+$E$87*$A$87)),$G$87,0)</f>
        <v>0</v>
      </c>
      <c r="AK156" s="105">
        <v>2</v>
      </c>
      <c r="AL156" s="105" t="e">
        <f t="shared" ref="AL156:AL195" si="5">IF(AND(AK156&gt;=$K$64,AK156&lt;($K$64+$E$64*$A$64)),$G$64,0)</f>
        <v>#N/A</v>
      </c>
      <c r="AM156" s="105">
        <v>2</v>
      </c>
      <c r="AN156" s="105">
        <f t="shared" si="0"/>
        <v>0</v>
      </c>
      <c r="IS156" s="542">
        <v>1994</v>
      </c>
    </row>
    <row r="157" spans="3:253" ht="15" hidden="1" x14ac:dyDescent="0.2">
      <c r="F157" s="187">
        <v>2</v>
      </c>
      <c r="G157" s="874">
        <f ca="1">DATE(YEAR(G156),MONTH(G156)+1,DAY(G156))</f>
        <v>43833</v>
      </c>
      <c r="H157" s="875"/>
      <c r="I157" s="876"/>
      <c r="J157" s="809">
        <f>IF(F157&lt;=$AO$147,0,Apoio!E251)</f>
        <v>0</v>
      </c>
      <c r="K157" s="848"/>
      <c r="L157" s="810"/>
      <c r="M157" s="809" t="e">
        <f t="shared" si="1"/>
        <v>#N/A</v>
      </c>
      <c r="N157" s="810"/>
      <c r="O157" s="809" t="e">
        <f t="shared" ref="O157:O195" si="6">M157+J157</f>
        <v>#N/A</v>
      </c>
      <c r="P157" s="810"/>
      <c r="Q157" s="842"/>
      <c r="R157" s="843"/>
      <c r="S157" s="809">
        <f t="shared" si="2"/>
        <v>0</v>
      </c>
      <c r="T157" s="810"/>
      <c r="AC157" s="105" t="e">
        <f t="shared" ref="AC157:AC189" si="7">AC156+$A$76</f>
        <v>#REF!</v>
      </c>
      <c r="AD157" s="105" t="e">
        <f>IF(AND(AC157&gt;=#REF!,AC157&lt;(#REF!+#REF!*$A$76)),#REF!,0)</f>
        <v>#REF!</v>
      </c>
      <c r="AE157" s="105" t="e">
        <f t="shared" ref="AE157:AE189" si="8">AE156+$A$83</f>
        <v>#REF!</v>
      </c>
      <c r="AF157" s="105" t="e">
        <f>IF(AND(AE157&gt;=#REF!,AE157&lt;(#REF!+#REF!*$A$83)),#REF!,0)</f>
        <v>#REF!</v>
      </c>
      <c r="AG157" s="105">
        <f t="shared" ref="AG157:AG189" si="9">AG156+$A$85</f>
        <v>33</v>
      </c>
      <c r="AH157" s="105">
        <f t="shared" si="3"/>
        <v>0</v>
      </c>
      <c r="AI157" s="105">
        <f t="shared" ref="AI157:AI189" si="10">AI156+$A$87</f>
        <v>5</v>
      </c>
      <c r="AJ157" s="105">
        <f t="shared" si="4"/>
        <v>0</v>
      </c>
      <c r="AK157" s="105">
        <v>3</v>
      </c>
      <c r="AL157" s="105" t="e">
        <f t="shared" si="5"/>
        <v>#N/A</v>
      </c>
      <c r="AM157" s="105">
        <v>3</v>
      </c>
      <c r="AN157" s="105">
        <f t="shared" si="0"/>
        <v>0</v>
      </c>
      <c r="IS157" s="542">
        <v>1995</v>
      </c>
    </row>
    <row r="158" spans="3:253" ht="15" hidden="1" x14ac:dyDescent="0.2">
      <c r="F158" s="187">
        <v>3</v>
      </c>
      <c r="G158" s="874">
        <f t="shared" ref="G158:G195" ca="1" si="11">DATE(YEAR(G157),MONTH(G157)+1,DAY(G157))</f>
        <v>43864</v>
      </c>
      <c r="H158" s="875"/>
      <c r="I158" s="876"/>
      <c r="J158" s="809">
        <f>IF(F158&lt;=$AO$147,0,Apoio!E252)</f>
        <v>0</v>
      </c>
      <c r="K158" s="848"/>
      <c r="L158" s="810"/>
      <c r="M158" s="809" t="e">
        <f t="shared" si="1"/>
        <v>#N/A</v>
      </c>
      <c r="N158" s="810"/>
      <c r="O158" s="809" t="e">
        <f t="shared" si="6"/>
        <v>#N/A</v>
      </c>
      <c r="P158" s="810"/>
      <c r="Q158" s="842"/>
      <c r="R158" s="843"/>
      <c r="S158" s="809">
        <f t="shared" si="2"/>
        <v>0</v>
      </c>
      <c r="T158" s="810"/>
      <c r="AC158" s="105" t="e">
        <f t="shared" si="7"/>
        <v>#REF!</v>
      </c>
      <c r="AD158" s="105" t="e">
        <f>IF(AND(AC158&gt;=#REF!,AC158&lt;(#REF!+#REF!*$A$76)),#REF!,0)</f>
        <v>#REF!</v>
      </c>
      <c r="AE158" s="105" t="e">
        <f t="shared" si="8"/>
        <v>#REF!</v>
      </c>
      <c r="AF158" s="105" t="e">
        <f>IF(AND(AE158&gt;=#REF!,AE158&lt;(#REF!+#REF!*$A$83)),#REF!,0)</f>
        <v>#REF!</v>
      </c>
      <c r="AG158" s="105">
        <f t="shared" si="9"/>
        <v>45</v>
      </c>
      <c r="AH158" s="105">
        <f t="shared" si="3"/>
        <v>0</v>
      </c>
      <c r="AI158" s="105">
        <f t="shared" si="10"/>
        <v>5</v>
      </c>
      <c r="AJ158" s="105">
        <f t="shared" si="4"/>
        <v>0</v>
      </c>
      <c r="AK158" s="105">
        <v>4</v>
      </c>
      <c r="AL158" s="105" t="e">
        <f t="shared" si="5"/>
        <v>#N/A</v>
      </c>
      <c r="AM158" s="105">
        <v>4</v>
      </c>
      <c r="AN158" s="105">
        <f t="shared" si="0"/>
        <v>0</v>
      </c>
      <c r="IS158" s="542">
        <v>1996</v>
      </c>
    </row>
    <row r="159" spans="3:253" ht="15" hidden="1" x14ac:dyDescent="0.2">
      <c r="F159" s="187">
        <v>4</v>
      </c>
      <c r="G159" s="874">
        <f t="shared" ca="1" si="11"/>
        <v>43893</v>
      </c>
      <c r="H159" s="875"/>
      <c r="I159" s="876"/>
      <c r="J159" s="809" t="e">
        <f ca="1">IF(F159&lt;=$AO$147,0,Apoio!E253)</f>
        <v>#N/A</v>
      </c>
      <c r="K159" s="848"/>
      <c r="L159" s="810"/>
      <c r="M159" s="809" t="e">
        <f t="shared" si="1"/>
        <v>#N/A</v>
      </c>
      <c r="N159" s="810"/>
      <c r="O159" s="809" t="e">
        <f t="shared" ca="1" si="6"/>
        <v>#N/A</v>
      </c>
      <c r="P159" s="810"/>
      <c r="Q159" s="842"/>
      <c r="R159" s="843"/>
      <c r="S159" s="809" t="e">
        <f t="shared" ca="1" si="2"/>
        <v>#N/A</v>
      </c>
      <c r="T159" s="810"/>
      <c r="AC159" s="105" t="e">
        <f t="shared" si="7"/>
        <v>#REF!</v>
      </c>
      <c r="AD159" s="105" t="e">
        <f>IF(AND(AC159&gt;=#REF!,AC159&lt;(#REF!+#REF!*$A$76)),#REF!,0)</f>
        <v>#REF!</v>
      </c>
      <c r="AE159" s="105" t="e">
        <f t="shared" si="8"/>
        <v>#REF!</v>
      </c>
      <c r="AF159" s="105" t="e">
        <f>IF(AND(AE159&gt;=#REF!,AE159&lt;(#REF!+#REF!*$A$83)),#REF!,0)</f>
        <v>#REF!</v>
      </c>
      <c r="AG159" s="105">
        <f t="shared" si="9"/>
        <v>57</v>
      </c>
      <c r="AH159" s="105">
        <f t="shared" si="3"/>
        <v>0</v>
      </c>
      <c r="AI159" s="105">
        <f t="shared" si="10"/>
        <v>5</v>
      </c>
      <c r="AJ159" s="105">
        <f t="shared" si="4"/>
        <v>0</v>
      </c>
      <c r="AK159" s="105">
        <v>5</v>
      </c>
      <c r="AL159" s="105" t="e">
        <f t="shared" si="5"/>
        <v>#N/A</v>
      </c>
      <c r="AM159" s="105">
        <v>5</v>
      </c>
      <c r="AN159" s="105">
        <f t="shared" si="0"/>
        <v>0</v>
      </c>
      <c r="IS159" s="542">
        <v>1997</v>
      </c>
    </row>
    <row r="160" spans="3:253" ht="15" hidden="1" x14ac:dyDescent="0.2">
      <c r="F160" s="187">
        <v>5</v>
      </c>
      <c r="G160" s="874">
        <f t="shared" ca="1" si="11"/>
        <v>43924</v>
      </c>
      <c r="H160" s="875"/>
      <c r="I160" s="876"/>
      <c r="J160" s="809" t="e">
        <f ca="1">IF(F160&lt;=$AO$147,0,Apoio!E254)</f>
        <v>#N/A</v>
      </c>
      <c r="K160" s="848"/>
      <c r="L160" s="810"/>
      <c r="M160" s="809" t="e">
        <f t="shared" si="1"/>
        <v>#N/A</v>
      </c>
      <c r="N160" s="810"/>
      <c r="O160" s="809" t="e">
        <f t="shared" ca="1" si="6"/>
        <v>#N/A</v>
      </c>
      <c r="P160" s="810"/>
      <c r="Q160" s="842"/>
      <c r="R160" s="843"/>
      <c r="S160" s="809" t="e">
        <f t="shared" ca="1" si="2"/>
        <v>#N/A</v>
      </c>
      <c r="T160" s="810"/>
      <c r="AC160" s="105" t="e">
        <f t="shared" si="7"/>
        <v>#REF!</v>
      </c>
      <c r="AD160" s="105" t="e">
        <f>IF(AND(AC160&gt;=#REF!,AC160&lt;(#REF!+#REF!*$A$76)),#REF!,0)</f>
        <v>#REF!</v>
      </c>
      <c r="AE160" s="105" t="e">
        <f t="shared" si="8"/>
        <v>#REF!</v>
      </c>
      <c r="AF160" s="105" t="e">
        <f>IF(AND(AE160&gt;=#REF!,AE160&lt;(#REF!+#REF!*$A$83)),#REF!,0)</f>
        <v>#REF!</v>
      </c>
      <c r="AG160" s="105">
        <f t="shared" si="9"/>
        <v>69</v>
      </c>
      <c r="AH160" s="105">
        <f t="shared" si="3"/>
        <v>0</v>
      </c>
      <c r="AI160" s="105">
        <f t="shared" si="10"/>
        <v>5</v>
      </c>
      <c r="AJ160" s="105">
        <f t="shared" si="4"/>
        <v>0</v>
      </c>
      <c r="AK160" s="105">
        <v>6</v>
      </c>
      <c r="AL160" s="105" t="e">
        <f t="shared" si="5"/>
        <v>#N/A</v>
      </c>
      <c r="AM160" s="105">
        <v>6</v>
      </c>
      <c r="AN160" s="105">
        <f t="shared" si="0"/>
        <v>0</v>
      </c>
    </row>
    <row r="161" spans="6:40" ht="15" hidden="1" x14ac:dyDescent="0.2">
      <c r="F161" s="187">
        <v>6</v>
      </c>
      <c r="G161" s="874">
        <f t="shared" ca="1" si="11"/>
        <v>43954</v>
      </c>
      <c r="H161" s="875"/>
      <c r="I161" s="876"/>
      <c r="J161" s="809" t="e">
        <f ca="1">IF(F161&lt;=$AO$147,0,Apoio!E255)</f>
        <v>#N/A</v>
      </c>
      <c r="K161" s="848"/>
      <c r="L161" s="810"/>
      <c r="M161" s="809" t="e">
        <f t="shared" si="1"/>
        <v>#N/A</v>
      </c>
      <c r="N161" s="810"/>
      <c r="O161" s="809" t="e">
        <f t="shared" ca="1" si="6"/>
        <v>#N/A</v>
      </c>
      <c r="P161" s="810"/>
      <c r="Q161" s="842"/>
      <c r="R161" s="843"/>
      <c r="S161" s="809" t="e">
        <f t="shared" ca="1" si="2"/>
        <v>#N/A</v>
      </c>
      <c r="T161" s="810"/>
      <c r="AC161" s="105" t="e">
        <f t="shared" si="7"/>
        <v>#REF!</v>
      </c>
      <c r="AD161" s="105" t="e">
        <f>IF(AND(AC161&gt;=#REF!,AC161&lt;(#REF!+#REF!*$A$76)),#REF!,0)</f>
        <v>#REF!</v>
      </c>
      <c r="AE161" s="105" t="e">
        <f t="shared" si="8"/>
        <v>#REF!</v>
      </c>
      <c r="AF161" s="105" t="e">
        <f>IF(AND(AE161&gt;=#REF!,AE161&lt;(#REF!+#REF!*$A$83)),#REF!,0)</f>
        <v>#REF!</v>
      </c>
      <c r="AG161" s="105">
        <f t="shared" si="9"/>
        <v>81</v>
      </c>
      <c r="AH161" s="105">
        <f t="shared" si="3"/>
        <v>0</v>
      </c>
      <c r="AI161" s="105">
        <f t="shared" si="10"/>
        <v>5</v>
      </c>
      <c r="AJ161" s="105">
        <f t="shared" si="4"/>
        <v>0</v>
      </c>
      <c r="AK161" s="105">
        <v>7</v>
      </c>
      <c r="AL161" s="105" t="e">
        <f t="shared" si="5"/>
        <v>#N/A</v>
      </c>
      <c r="AM161" s="105">
        <v>7</v>
      </c>
      <c r="AN161" s="105">
        <f t="shared" si="0"/>
        <v>0</v>
      </c>
    </row>
    <row r="162" spans="6:40" ht="15" hidden="1" x14ac:dyDescent="0.2">
      <c r="F162" s="187">
        <v>7</v>
      </c>
      <c r="G162" s="874">
        <f t="shared" ca="1" si="11"/>
        <v>43985</v>
      </c>
      <c r="H162" s="875"/>
      <c r="I162" s="876"/>
      <c r="J162" s="809" t="e">
        <f ca="1">IF(F162&lt;=$AO$147,0,Apoio!E256)</f>
        <v>#N/A</v>
      </c>
      <c r="K162" s="848"/>
      <c r="L162" s="810"/>
      <c r="M162" s="809" t="e">
        <f t="shared" si="1"/>
        <v>#N/A</v>
      </c>
      <c r="N162" s="810"/>
      <c r="O162" s="809" t="e">
        <f t="shared" ca="1" si="6"/>
        <v>#N/A</v>
      </c>
      <c r="P162" s="810"/>
      <c r="Q162" s="842"/>
      <c r="R162" s="843"/>
      <c r="S162" s="809" t="e">
        <f t="shared" ca="1" si="2"/>
        <v>#N/A</v>
      </c>
      <c r="T162" s="810"/>
      <c r="AC162" s="105" t="e">
        <f t="shared" si="7"/>
        <v>#REF!</v>
      </c>
      <c r="AD162" s="105" t="e">
        <f>IF(AND(AC162&gt;=#REF!,AC162&lt;(#REF!+#REF!*$A$76)),#REF!,0)</f>
        <v>#REF!</v>
      </c>
      <c r="AE162" s="105" t="e">
        <f t="shared" si="8"/>
        <v>#REF!</v>
      </c>
      <c r="AF162" s="105" t="e">
        <f>IF(AND(AE162&gt;=#REF!,AE162&lt;(#REF!+#REF!*$A$83)),#REF!,0)</f>
        <v>#REF!</v>
      </c>
      <c r="AG162" s="105">
        <f t="shared" si="9"/>
        <v>93</v>
      </c>
      <c r="AH162" s="105">
        <f t="shared" si="3"/>
        <v>0</v>
      </c>
      <c r="AI162" s="105">
        <f t="shared" si="10"/>
        <v>5</v>
      </c>
      <c r="AJ162" s="105">
        <f t="shared" si="4"/>
        <v>0</v>
      </c>
      <c r="AK162" s="105">
        <v>8</v>
      </c>
      <c r="AL162" s="105" t="e">
        <f t="shared" si="5"/>
        <v>#N/A</v>
      </c>
      <c r="AM162" s="105">
        <v>8</v>
      </c>
      <c r="AN162" s="105">
        <f t="shared" si="0"/>
        <v>0</v>
      </c>
    </row>
    <row r="163" spans="6:40" ht="15" hidden="1" x14ac:dyDescent="0.2">
      <c r="F163" s="187">
        <v>8</v>
      </c>
      <c r="G163" s="874">
        <f t="shared" ca="1" si="11"/>
        <v>44015</v>
      </c>
      <c r="H163" s="875"/>
      <c r="I163" s="876"/>
      <c r="J163" s="809" t="e">
        <f ca="1">IF(F163&lt;=$AO$147,0,Apoio!E257)</f>
        <v>#N/A</v>
      </c>
      <c r="K163" s="848"/>
      <c r="L163" s="810"/>
      <c r="M163" s="809" t="e">
        <f t="shared" si="1"/>
        <v>#N/A</v>
      </c>
      <c r="N163" s="810"/>
      <c r="O163" s="809" t="e">
        <f t="shared" ca="1" si="6"/>
        <v>#N/A</v>
      </c>
      <c r="P163" s="810"/>
      <c r="Q163" s="842"/>
      <c r="R163" s="843"/>
      <c r="S163" s="809" t="e">
        <f t="shared" ca="1" si="2"/>
        <v>#N/A</v>
      </c>
      <c r="T163" s="810"/>
      <c r="AC163" s="105" t="e">
        <f t="shared" si="7"/>
        <v>#REF!</v>
      </c>
      <c r="AD163" s="105" t="e">
        <f>IF(AND(AC163&gt;=#REF!,AC163&lt;(#REF!+#REF!*$A$76)),#REF!,0)</f>
        <v>#REF!</v>
      </c>
      <c r="AE163" s="105" t="e">
        <f t="shared" si="8"/>
        <v>#REF!</v>
      </c>
      <c r="AF163" s="105" t="e">
        <f>IF(AND(AE163&gt;=#REF!,AE163&lt;(#REF!+#REF!*$A$83)),#REF!,0)</f>
        <v>#REF!</v>
      </c>
      <c r="AG163" s="105">
        <f t="shared" si="9"/>
        <v>105</v>
      </c>
      <c r="AH163" s="105">
        <f t="shared" si="3"/>
        <v>0</v>
      </c>
      <c r="AI163" s="105">
        <f t="shared" si="10"/>
        <v>5</v>
      </c>
      <c r="AJ163" s="105">
        <f t="shared" si="4"/>
        <v>0</v>
      </c>
      <c r="AK163" s="105">
        <v>9</v>
      </c>
      <c r="AL163" s="105" t="e">
        <f t="shared" si="5"/>
        <v>#N/A</v>
      </c>
      <c r="AM163" s="105">
        <v>9</v>
      </c>
      <c r="AN163" s="105">
        <f t="shared" si="0"/>
        <v>0</v>
      </c>
    </row>
    <row r="164" spans="6:40" ht="15" hidden="1" x14ac:dyDescent="0.2">
      <c r="F164" s="187">
        <v>9</v>
      </c>
      <c r="G164" s="874">
        <f t="shared" ca="1" si="11"/>
        <v>44046</v>
      </c>
      <c r="H164" s="875"/>
      <c r="I164" s="876"/>
      <c r="J164" s="809" t="e">
        <f ca="1">IF(F164&lt;=$AO$147,0,Apoio!E258)</f>
        <v>#N/A</v>
      </c>
      <c r="K164" s="848"/>
      <c r="L164" s="810"/>
      <c r="M164" s="809" t="e">
        <f t="shared" si="1"/>
        <v>#N/A</v>
      </c>
      <c r="N164" s="810"/>
      <c r="O164" s="809" t="e">
        <f t="shared" ca="1" si="6"/>
        <v>#N/A</v>
      </c>
      <c r="P164" s="810"/>
      <c r="Q164" s="842"/>
      <c r="R164" s="843"/>
      <c r="S164" s="809" t="e">
        <f t="shared" ca="1" si="2"/>
        <v>#N/A</v>
      </c>
      <c r="T164" s="810"/>
      <c r="AC164" s="105" t="e">
        <f t="shared" si="7"/>
        <v>#REF!</v>
      </c>
      <c r="AD164" s="105" t="e">
        <f>IF(AND(AC164&gt;=#REF!,AC164&lt;(#REF!+#REF!*$A$76)),#REF!,0)</f>
        <v>#REF!</v>
      </c>
      <c r="AE164" s="105" t="e">
        <f t="shared" si="8"/>
        <v>#REF!</v>
      </c>
      <c r="AF164" s="105" t="e">
        <f>IF(AND(AE164&gt;=#REF!,AE164&lt;(#REF!+#REF!*$A$83)),#REF!,0)</f>
        <v>#REF!</v>
      </c>
      <c r="AG164" s="105">
        <f t="shared" si="9"/>
        <v>117</v>
      </c>
      <c r="AH164" s="105">
        <f t="shared" si="3"/>
        <v>0</v>
      </c>
      <c r="AI164" s="105">
        <f t="shared" si="10"/>
        <v>5</v>
      </c>
      <c r="AJ164" s="105">
        <f t="shared" si="4"/>
        <v>0</v>
      </c>
      <c r="AK164" s="105">
        <v>10</v>
      </c>
      <c r="AL164" s="105" t="e">
        <f t="shared" si="5"/>
        <v>#N/A</v>
      </c>
      <c r="AM164" s="105">
        <v>10</v>
      </c>
      <c r="AN164" s="105">
        <f t="shared" si="0"/>
        <v>0</v>
      </c>
    </row>
    <row r="165" spans="6:40" ht="15" hidden="1" x14ac:dyDescent="0.2">
      <c r="F165" s="187">
        <v>10</v>
      </c>
      <c r="G165" s="874">
        <f t="shared" ca="1" si="11"/>
        <v>44077</v>
      </c>
      <c r="H165" s="875"/>
      <c r="I165" s="876"/>
      <c r="J165" s="809" t="e">
        <f ca="1">IF(F165&lt;=$AO$147,0,Apoio!E259)</f>
        <v>#N/A</v>
      </c>
      <c r="K165" s="848"/>
      <c r="L165" s="810"/>
      <c r="M165" s="809" t="e">
        <f t="shared" si="1"/>
        <v>#N/A</v>
      </c>
      <c r="N165" s="810"/>
      <c r="O165" s="809" t="e">
        <f t="shared" ca="1" si="6"/>
        <v>#N/A</v>
      </c>
      <c r="P165" s="810"/>
      <c r="Q165" s="842"/>
      <c r="R165" s="843"/>
      <c r="S165" s="809" t="e">
        <f t="shared" ca="1" si="2"/>
        <v>#N/A</v>
      </c>
      <c r="T165" s="810"/>
      <c r="AC165" s="105" t="e">
        <f t="shared" si="7"/>
        <v>#REF!</v>
      </c>
      <c r="AD165" s="105" t="e">
        <f>IF(AND(AC165&gt;=#REF!,AC165&lt;(#REF!+#REF!*$A$76)),#REF!,0)</f>
        <v>#REF!</v>
      </c>
      <c r="AE165" s="105" t="e">
        <f t="shared" si="8"/>
        <v>#REF!</v>
      </c>
      <c r="AF165" s="105" t="e">
        <f>IF(AND(AE165&gt;=#REF!,AE165&lt;(#REF!+#REF!*$A$83)),#REF!,0)</f>
        <v>#REF!</v>
      </c>
      <c r="AG165" s="105">
        <f t="shared" si="9"/>
        <v>129</v>
      </c>
      <c r="AH165" s="105">
        <f t="shared" si="3"/>
        <v>0</v>
      </c>
      <c r="AI165" s="105">
        <f t="shared" si="10"/>
        <v>5</v>
      </c>
      <c r="AJ165" s="105">
        <f t="shared" si="4"/>
        <v>0</v>
      </c>
      <c r="AK165" s="105">
        <v>11</v>
      </c>
      <c r="AL165" s="105" t="e">
        <f t="shared" si="5"/>
        <v>#N/A</v>
      </c>
      <c r="AM165" s="105">
        <v>11</v>
      </c>
      <c r="AN165" s="105">
        <f t="shared" si="0"/>
        <v>0</v>
      </c>
    </row>
    <row r="166" spans="6:40" ht="15" hidden="1" x14ac:dyDescent="0.2">
      <c r="F166" s="187">
        <v>11</v>
      </c>
      <c r="G166" s="874">
        <f t="shared" ca="1" si="11"/>
        <v>44107</v>
      </c>
      <c r="H166" s="875"/>
      <c r="I166" s="876"/>
      <c r="J166" s="809" t="e">
        <f ca="1">IF(F166&lt;=$AO$147,0,Apoio!E260)</f>
        <v>#N/A</v>
      </c>
      <c r="K166" s="848"/>
      <c r="L166" s="810"/>
      <c r="M166" s="809" t="e">
        <f t="shared" si="1"/>
        <v>#N/A</v>
      </c>
      <c r="N166" s="810"/>
      <c r="O166" s="809" t="e">
        <f t="shared" ca="1" si="6"/>
        <v>#N/A</v>
      </c>
      <c r="P166" s="810"/>
      <c r="Q166" s="842"/>
      <c r="R166" s="843"/>
      <c r="S166" s="809" t="e">
        <f t="shared" ca="1" si="2"/>
        <v>#N/A</v>
      </c>
      <c r="T166" s="810"/>
      <c r="AC166" s="105" t="e">
        <f t="shared" si="7"/>
        <v>#REF!</v>
      </c>
      <c r="AD166" s="105" t="e">
        <f>IF(AND(AC166&gt;=#REF!,AC166&lt;(#REF!+#REF!*$A$76)),#REF!,0)</f>
        <v>#REF!</v>
      </c>
      <c r="AE166" s="105" t="e">
        <f t="shared" si="8"/>
        <v>#REF!</v>
      </c>
      <c r="AF166" s="105" t="e">
        <f>IF(AND(AE166&gt;=#REF!,AE166&lt;(#REF!+#REF!*$A$83)),#REF!,0)</f>
        <v>#REF!</v>
      </c>
      <c r="AG166" s="105">
        <f t="shared" si="9"/>
        <v>141</v>
      </c>
      <c r="AH166" s="105">
        <f t="shared" si="3"/>
        <v>0</v>
      </c>
      <c r="AI166" s="105">
        <f t="shared" si="10"/>
        <v>5</v>
      </c>
      <c r="AJ166" s="105">
        <f t="shared" si="4"/>
        <v>0</v>
      </c>
      <c r="AK166" s="105">
        <v>12</v>
      </c>
      <c r="AL166" s="105" t="e">
        <f t="shared" si="5"/>
        <v>#N/A</v>
      </c>
      <c r="AM166" s="105">
        <v>12</v>
      </c>
      <c r="AN166" s="105">
        <f t="shared" si="0"/>
        <v>0</v>
      </c>
    </row>
    <row r="167" spans="6:40" ht="15" hidden="1" x14ac:dyDescent="0.2">
      <c r="F167" s="187">
        <v>12</v>
      </c>
      <c r="G167" s="874">
        <f t="shared" ca="1" si="11"/>
        <v>44138</v>
      </c>
      <c r="H167" s="875"/>
      <c r="I167" s="876"/>
      <c r="J167" s="809" t="e">
        <f ca="1">IF(F167&lt;=$AO$147,0,Apoio!E261)</f>
        <v>#N/A</v>
      </c>
      <c r="K167" s="848"/>
      <c r="L167" s="810"/>
      <c r="M167" s="809" t="e">
        <f t="shared" si="1"/>
        <v>#N/A</v>
      </c>
      <c r="N167" s="810"/>
      <c r="O167" s="809" t="e">
        <f t="shared" ca="1" si="6"/>
        <v>#N/A</v>
      </c>
      <c r="P167" s="810"/>
      <c r="Q167" s="842"/>
      <c r="R167" s="843"/>
      <c r="S167" s="809" t="e">
        <f t="shared" ca="1" si="2"/>
        <v>#N/A</v>
      </c>
      <c r="T167" s="810"/>
      <c r="AC167" s="105" t="e">
        <f t="shared" si="7"/>
        <v>#REF!</v>
      </c>
      <c r="AD167" s="105" t="e">
        <f>IF(AND(AC167&gt;=#REF!,AC167&lt;(#REF!+#REF!*$A$76)),#REF!,0)</f>
        <v>#REF!</v>
      </c>
      <c r="AE167" s="105" t="e">
        <f t="shared" si="8"/>
        <v>#REF!</v>
      </c>
      <c r="AF167" s="105" t="e">
        <f>IF(AND(AE167&gt;=#REF!,AE167&lt;(#REF!+#REF!*$A$83)),#REF!,0)</f>
        <v>#REF!</v>
      </c>
      <c r="AG167" s="105">
        <f t="shared" si="9"/>
        <v>153</v>
      </c>
      <c r="AH167" s="105">
        <f t="shared" si="3"/>
        <v>0</v>
      </c>
      <c r="AI167" s="105">
        <f t="shared" si="10"/>
        <v>5</v>
      </c>
      <c r="AJ167" s="105">
        <f t="shared" si="4"/>
        <v>0</v>
      </c>
      <c r="AK167" s="105">
        <v>13</v>
      </c>
      <c r="AL167" s="105" t="e">
        <f t="shared" si="5"/>
        <v>#N/A</v>
      </c>
      <c r="AM167" s="105">
        <v>13</v>
      </c>
      <c r="AN167" s="105">
        <f t="shared" si="0"/>
        <v>0</v>
      </c>
    </row>
    <row r="168" spans="6:40" ht="15" hidden="1" x14ac:dyDescent="0.2">
      <c r="F168" s="187">
        <v>13</v>
      </c>
      <c r="G168" s="874">
        <f t="shared" ca="1" si="11"/>
        <v>44168</v>
      </c>
      <c r="H168" s="875"/>
      <c r="I168" s="876"/>
      <c r="J168" s="809" t="e">
        <f ca="1">IF(F168&lt;=$AO$147,0,Apoio!E262)</f>
        <v>#N/A</v>
      </c>
      <c r="K168" s="848"/>
      <c r="L168" s="810"/>
      <c r="M168" s="809" t="e">
        <f t="shared" si="1"/>
        <v>#N/A</v>
      </c>
      <c r="N168" s="810"/>
      <c r="O168" s="809" t="e">
        <f t="shared" ca="1" si="6"/>
        <v>#N/A</v>
      </c>
      <c r="P168" s="810"/>
      <c r="Q168" s="842"/>
      <c r="R168" s="843"/>
      <c r="S168" s="809" t="e">
        <f t="shared" ca="1" si="2"/>
        <v>#N/A</v>
      </c>
      <c r="T168" s="810"/>
      <c r="AC168" s="105" t="e">
        <f t="shared" si="7"/>
        <v>#REF!</v>
      </c>
      <c r="AD168" s="105" t="e">
        <f>IF(AND(AC168&gt;=#REF!,AC168&lt;(#REF!+#REF!*$A$76)),#REF!,0)</f>
        <v>#REF!</v>
      </c>
      <c r="AE168" s="105" t="e">
        <f t="shared" si="8"/>
        <v>#REF!</v>
      </c>
      <c r="AF168" s="105" t="e">
        <f>IF(AND(AE168&gt;=#REF!,AE168&lt;(#REF!+#REF!*$A$83)),#REF!,0)</f>
        <v>#REF!</v>
      </c>
      <c r="AG168" s="105">
        <f t="shared" si="9"/>
        <v>165</v>
      </c>
      <c r="AH168" s="105">
        <f t="shared" si="3"/>
        <v>0</v>
      </c>
      <c r="AI168" s="105">
        <f t="shared" si="10"/>
        <v>5</v>
      </c>
      <c r="AJ168" s="105">
        <f t="shared" si="4"/>
        <v>0</v>
      </c>
      <c r="AK168" s="105">
        <v>14</v>
      </c>
      <c r="AL168" s="105" t="e">
        <f t="shared" si="5"/>
        <v>#N/A</v>
      </c>
      <c r="AM168" s="105">
        <v>14</v>
      </c>
      <c r="AN168" s="105">
        <f t="shared" si="0"/>
        <v>0</v>
      </c>
    </row>
    <row r="169" spans="6:40" ht="15" hidden="1" x14ac:dyDescent="0.2">
      <c r="F169" s="187">
        <v>14</v>
      </c>
      <c r="G169" s="874">
        <f t="shared" ca="1" si="11"/>
        <v>44199</v>
      </c>
      <c r="H169" s="875"/>
      <c r="I169" s="876"/>
      <c r="J169" s="809" t="e">
        <f ca="1">IF(F169&lt;=$AO$147,0,Apoio!E263)</f>
        <v>#N/A</v>
      </c>
      <c r="K169" s="848"/>
      <c r="L169" s="810"/>
      <c r="M169" s="809" t="e">
        <f t="shared" si="1"/>
        <v>#N/A</v>
      </c>
      <c r="N169" s="810"/>
      <c r="O169" s="809" t="e">
        <f t="shared" ca="1" si="6"/>
        <v>#N/A</v>
      </c>
      <c r="P169" s="810"/>
      <c r="Q169" s="842"/>
      <c r="R169" s="843"/>
      <c r="S169" s="809" t="e">
        <f t="shared" ca="1" si="2"/>
        <v>#N/A</v>
      </c>
      <c r="T169" s="810"/>
      <c r="AC169" s="105" t="e">
        <f t="shared" si="7"/>
        <v>#REF!</v>
      </c>
      <c r="AD169" s="105" t="e">
        <f>IF(AND(AC169&gt;=#REF!,AC169&lt;(#REF!+#REF!*$A$76)),#REF!,0)</f>
        <v>#REF!</v>
      </c>
      <c r="AE169" s="105" t="e">
        <f t="shared" si="8"/>
        <v>#REF!</v>
      </c>
      <c r="AF169" s="105" t="e">
        <f>IF(AND(AE169&gt;=#REF!,AE169&lt;(#REF!+#REF!*$A$83)),#REF!,0)</f>
        <v>#REF!</v>
      </c>
      <c r="AG169" s="105">
        <f t="shared" si="9"/>
        <v>177</v>
      </c>
      <c r="AH169" s="105">
        <f t="shared" si="3"/>
        <v>0</v>
      </c>
      <c r="AI169" s="105">
        <f t="shared" si="10"/>
        <v>5</v>
      </c>
      <c r="AJ169" s="105">
        <f t="shared" si="4"/>
        <v>0</v>
      </c>
      <c r="AK169" s="105">
        <v>15</v>
      </c>
      <c r="AL169" s="105" t="e">
        <f t="shared" si="5"/>
        <v>#N/A</v>
      </c>
      <c r="AM169" s="105">
        <v>15</v>
      </c>
      <c r="AN169" s="105">
        <f t="shared" si="0"/>
        <v>0</v>
      </c>
    </row>
    <row r="170" spans="6:40" ht="15" hidden="1" x14ac:dyDescent="0.2">
      <c r="F170" s="187">
        <v>15</v>
      </c>
      <c r="G170" s="874">
        <f t="shared" ca="1" si="11"/>
        <v>44230</v>
      </c>
      <c r="H170" s="875"/>
      <c r="I170" s="876"/>
      <c r="J170" s="809" t="e">
        <f ca="1">IF(F170&lt;=$AO$147,0,Apoio!E264)</f>
        <v>#N/A</v>
      </c>
      <c r="K170" s="848"/>
      <c r="L170" s="810"/>
      <c r="M170" s="809" t="e">
        <f t="shared" si="1"/>
        <v>#N/A</v>
      </c>
      <c r="N170" s="810"/>
      <c r="O170" s="809" t="e">
        <f t="shared" ca="1" si="6"/>
        <v>#N/A</v>
      </c>
      <c r="P170" s="810"/>
      <c r="Q170" s="842"/>
      <c r="R170" s="843"/>
      <c r="S170" s="809" t="e">
        <f t="shared" ca="1" si="2"/>
        <v>#N/A</v>
      </c>
      <c r="T170" s="810"/>
      <c r="AC170" s="105" t="e">
        <f t="shared" si="7"/>
        <v>#REF!</v>
      </c>
      <c r="AD170" s="105" t="e">
        <f>IF(AND(AC170&gt;=#REF!,AC170&lt;(#REF!+#REF!*$A$76)),#REF!,0)</f>
        <v>#REF!</v>
      </c>
      <c r="AE170" s="105" t="e">
        <f t="shared" si="8"/>
        <v>#REF!</v>
      </c>
      <c r="AF170" s="105" t="e">
        <f>IF(AND(AE170&gt;=#REF!,AE170&lt;(#REF!+#REF!*$A$83)),#REF!,0)</f>
        <v>#REF!</v>
      </c>
      <c r="AG170" s="105">
        <f t="shared" si="9"/>
        <v>189</v>
      </c>
      <c r="AH170" s="105">
        <f t="shared" si="3"/>
        <v>0</v>
      </c>
      <c r="AI170" s="105">
        <f t="shared" si="10"/>
        <v>5</v>
      </c>
      <c r="AJ170" s="105">
        <f t="shared" si="4"/>
        <v>0</v>
      </c>
      <c r="AK170" s="105">
        <v>16</v>
      </c>
      <c r="AL170" s="105" t="e">
        <f t="shared" si="5"/>
        <v>#N/A</v>
      </c>
      <c r="AM170" s="105">
        <v>16</v>
      </c>
      <c r="AN170" s="105">
        <f t="shared" si="0"/>
        <v>0</v>
      </c>
    </row>
    <row r="171" spans="6:40" ht="15" hidden="1" x14ac:dyDescent="0.2">
      <c r="F171" s="187">
        <v>16</v>
      </c>
      <c r="G171" s="874">
        <f t="shared" ca="1" si="11"/>
        <v>44258</v>
      </c>
      <c r="H171" s="875"/>
      <c r="I171" s="876"/>
      <c r="J171" s="809" t="e">
        <f ca="1">IF(F171&lt;=$AO$147,0,Apoio!E265)</f>
        <v>#N/A</v>
      </c>
      <c r="K171" s="848"/>
      <c r="L171" s="810"/>
      <c r="M171" s="809" t="e">
        <f t="shared" si="1"/>
        <v>#N/A</v>
      </c>
      <c r="N171" s="810"/>
      <c r="O171" s="809" t="e">
        <f t="shared" ca="1" si="6"/>
        <v>#N/A</v>
      </c>
      <c r="P171" s="810"/>
      <c r="Q171" s="842"/>
      <c r="R171" s="843"/>
      <c r="S171" s="809" t="e">
        <f t="shared" ca="1" si="2"/>
        <v>#N/A</v>
      </c>
      <c r="T171" s="810"/>
      <c r="AC171" s="105" t="e">
        <f t="shared" si="7"/>
        <v>#REF!</v>
      </c>
      <c r="AD171" s="105" t="e">
        <f>IF(AND(AC171&gt;=#REF!,AC171&lt;(#REF!+#REF!*$A$76)),#REF!,0)</f>
        <v>#REF!</v>
      </c>
      <c r="AE171" s="105" t="e">
        <f t="shared" si="8"/>
        <v>#REF!</v>
      </c>
      <c r="AF171" s="105" t="e">
        <f>IF(AND(AE171&gt;=#REF!,AE171&lt;(#REF!+#REF!*$A$83)),#REF!,0)</f>
        <v>#REF!</v>
      </c>
      <c r="AG171" s="105">
        <f t="shared" si="9"/>
        <v>201</v>
      </c>
      <c r="AH171" s="105">
        <f t="shared" si="3"/>
        <v>0</v>
      </c>
      <c r="AI171" s="105">
        <f t="shared" si="10"/>
        <v>5</v>
      </c>
      <c r="AJ171" s="105">
        <f t="shared" si="4"/>
        <v>0</v>
      </c>
      <c r="AK171" s="105">
        <v>17</v>
      </c>
      <c r="AL171" s="105" t="e">
        <f t="shared" si="5"/>
        <v>#N/A</v>
      </c>
      <c r="AM171" s="105">
        <v>17</v>
      </c>
      <c r="AN171" s="105">
        <f t="shared" si="0"/>
        <v>0</v>
      </c>
    </row>
    <row r="172" spans="6:40" ht="15" hidden="1" x14ac:dyDescent="0.2">
      <c r="F172" s="187">
        <v>17</v>
      </c>
      <c r="G172" s="874">
        <f t="shared" ca="1" si="11"/>
        <v>44289</v>
      </c>
      <c r="H172" s="875"/>
      <c r="I172" s="876"/>
      <c r="J172" s="809" t="e">
        <f ca="1">IF(F172&lt;=$AO$147,0,Apoio!E266)</f>
        <v>#N/A</v>
      </c>
      <c r="K172" s="848"/>
      <c r="L172" s="810"/>
      <c r="M172" s="809" t="e">
        <f t="shared" si="1"/>
        <v>#N/A</v>
      </c>
      <c r="N172" s="810"/>
      <c r="O172" s="809" t="e">
        <f t="shared" ca="1" si="6"/>
        <v>#N/A</v>
      </c>
      <c r="P172" s="810"/>
      <c r="Q172" s="842"/>
      <c r="R172" s="843"/>
      <c r="S172" s="809" t="e">
        <f t="shared" ca="1" si="2"/>
        <v>#N/A</v>
      </c>
      <c r="T172" s="810"/>
      <c r="AC172" s="105" t="e">
        <f t="shared" si="7"/>
        <v>#REF!</v>
      </c>
      <c r="AD172" s="105" t="e">
        <f>IF(AND(AC172&gt;=#REF!,AC172&lt;(#REF!+#REF!*$A$76)),#REF!,0)</f>
        <v>#REF!</v>
      </c>
      <c r="AE172" s="105" t="e">
        <f t="shared" si="8"/>
        <v>#REF!</v>
      </c>
      <c r="AF172" s="105" t="e">
        <f>IF(AND(AE172&gt;=#REF!,AE172&lt;(#REF!+#REF!*$A$83)),#REF!,0)</f>
        <v>#REF!</v>
      </c>
      <c r="AG172" s="105">
        <f t="shared" si="9"/>
        <v>213</v>
      </c>
      <c r="AH172" s="105">
        <f t="shared" si="3"/>
        <v>0</v>
      </c>
      <c r="AI172" s="105">
        <f t="shared" si="10"/>
        <v>5</v>
      </c>
      <c r="AJ172" s="105">
        <f t="shared" si="4"/>
        <v>0</v>
      </c>
      <c r="AK172" s="105">
        <v>18</v>
      </c>
      <c r="AL172" s="105" t="e">
        <f t="shared" si="5"/>
        <v>#N/A</v>
      </c>
      <c r="AM172" s="105">
        <v>18</v>
      </c>
      <c r="AN172" s="105">
        <f t="shared" si="0"/>
        <v>0</v>
      </c>
    </row>
    <row r="173" spans="6:40" ht="15" hidden="1" x14ac:dyDescent="0.2">
      <c r="F173" s="187">
        <v>18</v>
      </c>
      <c r="G173" s="874">
        <f t="shared" ca="1" si="11"/>
        <v>44319</v>
      </c>
      <c r="H173" s="875"/>
      <c r="I173" s="876"/>
      <c r="J173" s="809" t="e">
        <f ca="1">IF(F173&lt;=$AO$147,0,Apoio!E267)</f>
        <v>#N/A</v>
      </c>
      <c r="K173" s="848"/>
      <c r="L173" s="810"/>
      <c r="M173" s="809" t="e">
        <f t="shared" si="1"/>
        <v>#N/A</v>
      </c>
      <c r="N173" s="810"/>
      <c r="O173" s="809" t="e">
        <f t="shared" ca="1" si="6"/>
        <v>#N/A</v>
      </c>
      <c r="P173" s="810"/>
      <c r="Q173" s="842"/>
      <c r="R173" s="843"/>
      <c r="S173" s="809" t="e">
        <f t="shared" ca="1" si="2"/>
        <v>#N/A</v>
      </c>
      <c r="T173" s="810"/>
      <c r="AC173" s="105" t="e">
        <f t="shared" si="7"/>
        <v>#REF!</v>
      </c>
      <c r="AD173" s="105" t="e">
        <f>IF(AND(AC173&gt;=#REF!,AC173&lt;(#REF!+#REF!*$A$76)),#REF!,0)</f>
        <v>#REF!</v>
      </c>
      <c r="AE173" s="105" t="e">
        <f t="shared" si="8"/>
        <v>#REF!</v>
      </c>
      <c r="AF173" s="105" t="e">
        <f>IF(AND(AE173&gt;=#REF!,AE173&lt;(#REF!+#REF!*$A$83)),#REF!,0)</f>
        <v>#REF!</v>
      </c>
      <c r="AG173" s="105">
        <f t="shared" si="9"/>
        <v>225</v>
      </c>
      <c r="AH173" s="105">
        <f t="shared" si="3"/>
        <v>0</v>
      </c>
      <c r="AI173" s="105">
        <f t="shared" si="10"/>
        <v>5</v>
      </c>
      <c r="AJ173" s="105">
        <f t="shared" si="4"/>
        <v>0</v>
      </c>
      <c r="AK173" s="105">
        <v>19</v>
      </c>
      <c r="AL173" s="105" t="e">
        <f t="shared" si="5"/>
        <v>#N/A</v>
      </c>
      <c r="AM173" s="105">
        <v>19</v>
      </c>
      <c r="AN173" s="105">
        <f t="shared" si="0"/>
        <v>0</v>
      </c>
    </row>
    <row r="174" spans="6:40" ht="15" hidden="1" x14ac:dyDescent="0.2">
      <c r="F174" s="187">
        <v>19</v>
      </c>
      <c r="G174" s="874">
        <f t="shared" ca="1" si="11"/>
        <v>44350</v>
      </c>
      <c r="H174" s="875"/>
      <c r="I174" s="876"/>
      <c r="J174" s="809" t="e">
        <f ca="1">IF(F174&lt;=$AO$147,0,Apoio!E268)</f>
        <v>#N/A</v>
      </c>
      <c r="K174" s="848"/>
      <c r="L174" s="810"/>
      <c r="M174" s="809" t="e">
        <f t="shared" si="1"/>
        <v>#N/A</v>
      </c>
      <c r="N174" s="810"/>
      <c r="O174" s="809" t="e">
        <f t="shared" ca="1" si="6"/>
        <v>#N/A</v>
      </c>
      <c r="P174" s="810"/>
      <c r="Q174" s="842"/>
      <c r="R174" s="843"/>
      <c r="S174" s="809" t="e">
        <f t="shared" ca="1" si="2"/>
        <v>#N/A</v>
      </c>
      <c r="T174" s="810"/>
      <c r="AC174" s="105" t="e">
        <f t="shared" si="7"/>
        <v>#REF!</v>
      </c>
      <c r="AD174" s="105" t="e">
        <f>IF(AND(AC174&gt;=#REF!,AC174&lt;(#REF!+#REF!*$A$76)),#REF!,0)</f>
        <v>#REF!</v>
      </c>
      <c r="AE174" s="105" t="e">
        <f t="shared" si="8"/>
        <v>#REF!</v>
      </c>
      <c r="AF174" s="105" t="e">
        <f>IF(AND(AE174&gt;=#REF!,AE174&lt;(#REF!+#REF!*$A$83)),#REF!,0)</f>
        <v>#REF!</v>
      </c>
      <c r="AG174" s="105">
        <f t="shared" si="9"/>
        <v>237</v>
      </c>
      <c r="AH174" s="105">
        <f t="shared" si="3"/>
        <v>0</v>
      </c>
      <c r="AI174" s="105">
        <f t="shared" si="10"/>
        <v>5</v>
      </c>
      <c r="AJ174" s="105">
        <f t="shared" si="4"/>
        <v>0</v>
      </c>
      <c r="AK174" s="105">
        <v>20</v>
      </c>
      <c r="AL174" s="105" t="e">
        <f t="shared" si="5"/>
        <v>#N/A</v>
      </c>
      <c r="AM174" s="105">
        <v>20</v>
      </c>
      <c r="AN174" s="105">
        <f t="shared" si="0"/>
        <v>0</v>
      </c>
    </row>
    <row r="175" spans="6:40" ht="15" hidden="1" x14ac:dyDescent="0.2">
      <c r="F175" s="187">
        <v>20</v>
      </c>
      <c r="G175" s="874">
        <f t="shared" ca="1" si="11"/>
        <v>44380</v>
      </c>
      <c r="H175" s="875"/>
      <c r="I175" s="876"/>
      <c r="J175" s="809" t="e">
        <f ca="1">IF(F175&lt;=$AO$147,0,Apoio!E269)</f>
        <v>#N/A</v>
      </c>
      <c r="K175" s="848"/>
      <c r="L175" s="810"/>
      <c r="M175" s="809" t="e">
        <f t="shared" si="1"/>
        <v>#N/A</v>
      </c>
      <c r="N175" s="810"/>
      <c r="O175" s="809" t="e">
        <f t="shared" ca="1" si="6"/>
        <v>#N/A</v>
      </c>
      <c r="P175" s="810"/>
      <c r="Q175" s="842"/>
      <c r="R175" s="843"/>
      <c r="S175" s="809" t="e">
        <f t="shared" ca="1" si="2"/>
        <v>#N/A</v>
      </c>
      <c r="T175" s="810"/>
      <c r="AC175" s="105" t="e">
        <f t="shared" si="7"/>
        <v>#REF!</v>
      </c>
      <c r="AD175" s="105" t="e">
        <f>IF(AND(AC175&gt;=#REF!,AC175&lt;(#REF!+#REF!*$A$76)),#REF!,0)</f>
        <v>#REF!</v>
      </c>
      <c r="AE175" s="105" t="e">
        <f t="shared" si="8"/>
        <v>#REF!</v>
      </c>
      <c r="AF175" s="105" t="e">
        <f>IF(AND(AE175&gt;=#REF!,AE175&lt;(#REF!+#REF!*$A$83)),#REF!,0)</f>
        <v>#REF!</v>
      </c>
      <c r="AG175" s="105">
        <f t="shared" si="9"/>
        <v>249</v>
      </c>
      <c r="AH175" s="105">
        <f t="shared" si="3"/>
        <v>0</v>
      </c>
      <c r="AI175" s="105">
        <f t="shared" si="10"/>
        <v>5</v>
      </c>
      <c r="AJ175" s="105">
        <f t="shared" si="4"/>
        <v>0</v>
      </c>
      <c r="AK175" s="105">
        <v>21</v>
      </c>
      <c r="AL175" s="105" t="e">
        <f t="shared" si="5"/>
        <v>#N/A</v>
      </c>
      <c r="AM175" s="105">
        <v>21</v>
      </c>
      <c r="AN175" s="105">
        <f t="shared" si="0"/>
        <v>0</v>
      </c>
    </row>
    <row r="176" spans="6:40" ht="15" hidden="1" x14ac:dyDescent="0.2">
      <c r="F176" s="187">
        <v>21</v>
      </c>
      <c r="G176" s="874">
        <f t="shared" ca="1" si="11"/>
        <v>44411</v>
      </c>
      <c r="H176" s="875"/>
      <c r="I176" s="876"/>
      <c r="J176" s="809" t="e">
        <f ca="1">IF(F176&lt;=$AO$147,0,Apoio!E270)</f>
        <v>#N/A</v>
      </c>
      <c r="K176" s="848"/>
      <c r="L176" s="810"/>
      <c r="M176" s="809" t="e">
        <f t="shared" si="1"/>
        <v>#N/A</v>
      </c>
      <c r="N176" s="810"/>
      <c r="O176" s="809" t="e">
        <f t="shared" ca="1" si="6"/>
        <v>#N/A</v>
      </c>
      <c r="P176" s="810"/>
      <c r="Q176" s="842"/>
      <c r="R176" s="843"/>
      <c r="S176" s="809" t="e">
        <f t="shared" ca="1" si="2"/>
        <v>#N/A</v>
      </c>
      <c r="T176" s="810"/>
      <c r="AC176" s="105" t="e">
        <f t="shared" si="7"/>
        <v>#REF!</v>
      </c>
      <c r="AD176" s="105" t="e">
        <f>IF(AND(AC176&gt;=#REF!,AC176&lt;(#REF!+#REF!*$A$76)),#REF!,0)</f>
        <v>#REF!</v>
      </c>
      <c r="AE176" s="105" t="e">
        <f t="shared" si="8"/>
        <v>#REF!</v>
      </c>
      <c r="AF176" s="105" t="e">
        <f>IF(AND(AE176&gt;=#REF!,AE176&lt;(#REF!+#REF!*$A$83)),#REF!,0)</f>
        <v>#REF!</v>
      </c>
      <c r="AG176" s="105">
        <f t="shared" si="9"/>
        <v>261</v>
      </c>
      <c r="AH176" s="105">
        <f t="shared" si="3"/>
        <v>0</v>
      </c>
      <c r="AI176" s="105">
        <f t="shared" si="10"/>
        <v>5</v>
      </c>
      <c r="AJ176" s="105">
        <f t="shared" si="4"/>
        <v>0</v>
      </c>
      <c r="AK176" s="105">
        <v>22</v>
      </c>
      <c r="AL176" s="105" t="e">
        <f t="shared" si="5"/>
        <v>#N/A</v>
      </c>
      <c r="AM176" s="105">
        <v>22</v>
      </c>
      <c r="AN176" s="105">
        <f t="shared" si="0"/>
        <v>0</v>
      </c>
    </row>
    <row r="177" spans="6:40" ht="15" hidden="1" x14ac:dyDescent="0.2">
      <c r="F177" s="187">
        <v>22</v>
      </c>
      <c r="G177" s="874">
        <f t="shared" ca="1" si="11"/>
        <v>44442</v>
      </c>
      <c r="H177" s="875"/>
      <c r="I177" s="876"/>
      <c r="J177" s="809" t="e">
        <f ca="1">IF(F177&lt;=$AO$147,0,Apoio!E271)</f>
        <v>#N/A</v>
      </c>
      <c r="K177" s="848"/>
      <c r="L177" s="810"/>
      <c r="M177" s="809" t="e">
        <f t="shared" si="1"/>
        <v>#N/A</v>
      </c>
      <c r="N177" s="810"/>
      <c r="O177" s="809" t="e">
        <f t="shared" ca="1" si="6"/>
        <v>#N/A</v>
      </c>
      <c r="P177" s="810"/>
      <c r="Q177" s="842"/>
      <c r="R177" s="843"/>
      <c r="S177" s="809" t="e">
        <f t="shared" ca="1" si="2"/>
        <v>#N/A</v>
      </c>
      <c r="T177" s="810"/>
      <c r="AC177" s="105" t="e">
        <f t="shared" si="7"/>
        <v>#REF!</v>
      </c>
      <c r="AD177" s="105" t="e">
        <f>IF(AND(AC177&gt;=#REF!,AC177&lt;(#REF!+#REF!*$A$76)),#REF!,0)</f>
        <v>#REF!</v>
      </c>
      <c r="AE177" s="105" t="e">
        <f t="shared" si="8"/>
        <v>#REF!</v>
      </c>
      <c r="AF177" s="105" t="e">
        <f>IF(AND(AE177&gt;=#REF!,AE177&lt;(#REF!+#REF!*$A$83)),#REF!,0)</f>
        <v>#REF!</v>
      </c>
      <c r="AG177" s="105">
        <f t="shared" si="9"/>
        <v>273</v>
      </c>
      <c r="AH177" s="105">
        <f t="shared" si="3"/>
        <v>0</v>
      </c>
      <c r="AI177" s="105">
        <f t="shared" si="10"/>
        <v>5</v>
      </c>
      <c r="AJ177" s="105">
        <f t="shared" si="4"/>
        <v>0</v>
      </c>
      <c r="AK177" s="105">
        <v>23</v>
      </c>
      <c r="AL177" s="105" t="e">
        <f t="shared" si="5"/>
        <v>#N/A</v>
      </c>
      <c r="AM177" s="105">
        <v>23</v>
      </c>
      <c r="AN177" s="105">
        <f t="shared" si="0"/>
        <v>0</v>
      </c>
    </row>
    <row r="178" spans="6:40" ht="15" hidden="1" x14ac:dyDescent="0.2">
      <c r="F178" s="187">
        <v>23</v>
      </c>
      <c r="G178" s="874">
        <f t="shared" ca="1" si="11"/>
        <v>44472</v>
      </c>
      <c r="H178" s="875"/>
      <c r="I178" s="876"/>
      <c r="J178" s="809" t="e">
        <f ca="1">IF(F178&lt;=$AO$147,0,Apoio!E272)</f>
        <v>#N/A</v>
      </c>
      <c r="K178" s="848"/>
      <c r="L178" s="810"/>
      <c r="M178" s="809" t="e">
        <f t="shared" si="1"/>
        <v>#N/A</v>
      </c>
      <c r="N178" s="810"/>
      <c r="O178" s="809" t="e">
        <f t="shared" ca="1" si="6"/>
        <v>#N/A</v>
      </c>
      <c r="P178" s="810"/>
      <c r="Q178" s="842"/>
      <c r="R178" s="843"/>
      <c r="S178" s="809" t="e">
        <f t="shared" ca="1" si="2"/>
        <v>#N/A</v>
      </c>
      <c r="T178" s="810"/>
      <c r="AC178" s="105" t="e">
        <f t="shared" si="7"/>
        <v>#REF!</v>
      </c>
      <c r="AD178" s="105" t="e">
        <f>IF(AND(AC178&gt;=#REF!,AC178&lt;(#REF!+#REF!*$A$76)),#REF!,0)</f>
        <v>#REF!</v>
      </c>
      <c r="AE178" s="105" t="e">
        <f t="shared" si="8"/>
        <v>#REF!</v>
      </c>
      <c r="AF178" s="105" t="e">
        <f>IF(AND(AE178&gt;=#REF!,AE178&lt;(#REF!+#REF!*$A$83)),#REF!,0)</f>
        <v>#REF!</v>
      </c>
      <c r="AG178" s="105">
        <f t="shared" si="9"/>
        <v>285</v>
      </c>
      <c r="AH178" s="105">
        <f t="shared" si="3"/>
        <v>0</v>
      </c>
      <c r="AI178" s="105">
        <f t="shared" si="10"/>
        <v>5</v>
      </c>
      <c r="AJ178" s="105">
        <f t="shared" si="4"/>
        <v>0</v>
      </c>
      <c r="AK178" s="105">
        <v>24</v>
      </c>
      <c r="AL178" s="105" t="e">
        <f t="shared" si="5"/>
        <v>#N/A</v>
      </c>
      <c r="AM178" s="105">
        <v>24</v>
      </c>
      <c r="AN178" s="105">
        <f t="shared" si="0"/>
        <v>0</v>
      </c>
    </row>
    <row r="179" spans="6:40" ht="15" hidden="1" x14ac:dyDescent="0.2">
      <c r="F179" s="187">
        <v>24</v>
      </c>
      <c r="G179" s="874">
        <f t="shared" ca="1" si="11"/>
        <v>44503</v>
      </c>
      <c r="H179" s="875"/>
      <c r="I179" s="876"/>
      <c r="J179" s="809" t="e">
        <f ca="1">IF(F179&lt;=$AO$147,0,Apoio!E273)</f>
        <v>#N/A</v>
      </c>
      <c r="K179" s="848"/>
      <c r="L179" s="810"/>
      <c r="M179" s="809" t="e">
        <f t="shared" si="1"/>
        <v>#N/A</v>
      </c>
      <c r="N179" s="810"/>
      <c r="O179" s="809" t="e">
        <f t="shared" ca="1" si="6"/>
        <v>#N/A</v>
      </c>
      <c r="P179" s="810"/>
      <c r="Q179" s="842"/>
      <c r="R179" s="843"/>
      <c r="S179" s="809" t="e">
        <f t="shared" ca="1" si="2"/>
        <v>#N/A</v>
      </c>
      <c r="T179" s="810"/>
      <c r="AC179" s="105" t="e">
        <f t="shared" si="7"/>
        <v>#REF!</v>
      </c>
      <c r="AD179" s="105" t="e">
        <f>IF(AND(AC179&gt;=#REF!,AC179&lt;(#REF!+#REF!*$A$76)),#REF!,0)</f>
        <v>#REF!</v>
      </c>
      <c r="AE179" s="105" t="e">
        <f t="shared" si="8"/>
        <v>#REF!</v>
      </c>
      <c r="AF179" s="105" t="e">
        <f>IF(AND(AE179&gt;=#REF!,AE179&lt;(#REF!+#REF!*$A$83)),#REF!,0)</f>
        <v>#REF!</v>
      </c>
      <c r="AG179" s="105">
        <f t="shared" si="9"/>
        <v>297</v>
      </c>
      <c r="AH179" s="105">
        <f t="shared" si="3"/>
        <v>0</v>
      </c>
      <c r="AI179" s="105">
        <f t="shared" si="10"/>
        <v>5</v>
      </c>
      <c r="AJ179" s="105">
        <f t="shared" si="4"/>
        <v>0</v>
      </c>
      <c r="AK179" s="105">
        <v>25</v>
      </c>
      <c r="AL179" s="105" t="e">
        <f t="shared" si="5"/>
        <v>#N/A</v>
      </c>
      <c r="AM179" s="105">
        <v>25</v>
      </c>
      <c r="AN179" s="105">
        <f t="shared" si="0"/>
        <v>0</v>
      </c>
    </row>
    <row r="180" spans="6:40" ht="15" hidden="1" x14ac:dyDescent="0.2">
      <c r="F180" s="187">
        <v>25</v>
      </c>
      <c r="G180" s="874">
        <f t="shared" ca="1" si="11"/>
        <v>44533</v>
      </c>
      <c r="H180" s="875"/>
      <c r="I180" s="876"/>
      <c r="J180" s="809" t="e">
        <f ca="1">IF(F180&lt;=$AO$147,0,Apoio!E274)</f>
        <v>#N/A</v>
      </c>
      <c r="K180" s="848"/>
      <c r="L180" s="810"/>
      <c r="M180" s="809" t="e">
        <f t="shared" si="1"/>
        <v>#N/A</v>
      </c>
      <c r="N180" s="810"/>
      <c r="O180" s="809" t="e">
        <f t="shared" ca="1" si="6"/>
        <v>#N/A</v>
      </c>
      <c r="P180" s="810"/>
      <c r="Q180" s="842"/>
      <c r="R180" s="843"/>
      <c r="S180" s="809" t="e">
        <f t="shared" ca="1" si="2"/>
        <v>#N/A</v>
      </c>
      <c r="T180" s="810"/>
      <c r="AC180" s="105" t="e">
        <f t="shared" si="7"/>
        <v>#REF!</v>
      </c>
      <c r="AD180" s="105" t="e">
        <f>IF(AND(AC180&gt;=#REF!,AC180&lt;(#REF!+#REF!*$A$76)),#REF!,0)</f>
        <v>#REF!</v>
      </c>
      <c r="AE180" s="105" t="e">
        <f t="shared" si="8"/>
        <v>#REF!</v>
      </c>
      <c r="AF180" s="105" t="e">
        <f>IF(AND(AE180&gt;=#REF!,AE180&lt;(#REF!+#REF!*$A$83)),#REF!,0)</f>
        <v>#REF!</v>
      </c>
      <c r="AG180" s="105">
        <f t="shared" si="9"/>
        <v>309</v>
      </c>
      <c r="AH180" s="105">
        <f t="shared" si="3"/>
        <v>0</v>
      </c>
      <c r="AI180" s="105">
        <f t="shared" si="10"/>
        <v>5</v>
      </c>
      <c r="AJ180" s="105">
        <f t="shared" si="4"/>
        <v>0</v>
      </c>
      <c r="AK180" s="105">
        <v>26</v>
      </c>
      <c r="AL180" s="105" t="e">
        <f t="shared" si="5"/>
        <v>#N/A</v>
      </c>
      <c r="AM180" s="105">
        <v>26</v>
      </c>
      <c r="AN180" s="105">
        <f t="shared" si="0"/>
        <v>0</v>
      </c>
    </row>
    <row r="181" spans="6:40" ht="15" hidden="1" x14ac:dyDescent="0.2">
      <c r="F181" s="187">
        <v>26</v>
      </c>
      <c r="G181" s="874">
        <f t="shared" ca="1" si="11"/>
        <v>44564</v>
      </c>
      <c r="H181" s="875"/>
      <c r="I181" s="876"/>
      <c r="J181" s="809" t="e">
        <f ca="1">IF(F181&lt;=$AO$147,0,Apoio!E275)</f>
        <v>#N/A</v>
      </c>
      <c r="K181" s="848"/>
      <c r="L181" s="810"/>
      <c r="M181" s="809" t="e">
        <f t="shared" si="1"/>
        <v>#N/A</v>
      </c>
      <c r="N181" s="810"/>
      <c r="O181" s="809" t="e">
        <f t="shared" ca="1" si="6"/>
        <v>#N/A</v>
      </c>
      <c r="P181" s="810"/>
      <c r="Q181" s="842"/>
      <c r="R181" s="843"/>
      <c r="S181" s="809" t="e">
        <f t="shared" ca="1" si="2"/>
        <v>#N/A</v>
      </c>
      <c r="T181" s="810"/>
      <c r="AC181" s="105" t="e">
        <f t="shared" si="7"/>
        <v>#REF!</v>
      </c>
      <c r="AD181" s="105" t="e">
        <f>IF(AND(AC181&gt;=#REF!,AC181&lt;(#REF!+#REF!*$A$76)),#REF!,0)</f>
        <v>#REF!</v>
      </c>
      <c r="AE181" s="105" t="e">
        <f t="shared" si="8"/>
        <v>#REF!</v>
      </c>
      <c r="AF181" s="105" t="e">
        <f>IF(AND(AE181&gt;=#REF!,AE181&lt;(#REF!+#REF!*$A$83)),#REF!,0)</f>
        <v>#REF!</v>
      </c>
      <c r="AG181" s="105">
        <f t="shared" si="9"/>
        <v>321</v>
      </c>
      <c r="AH181" s="105">
        <f t="shared" si="3"/>
        <v>0</v>
      </c>
      <c r="AI181" s="105">
        <f t="shared" si="10"/>
        <v>5</v>
      </c>
      <c r="AJ181" s="105">
        <f t="shared" si="4"/>
        <v>0</v>
      </c>
      <c r="AK181" s="105">
        <v>27</v>
      </c>
      <c r="AL181" s="105" t="e">
        <f t="shared" si="5"/>
        <v>#N/A</v>
      </c>
      <c r="AM181" s="105">
        <v>27</v>
      </c>
      <c r="AN181" s="105">
        <f t="shared" si="0"/>
        <v>0</v>
      </c>
    </row>
    <row r="182" spans="6:40" ht="15" hidden="1" x14ac:dyDescent="0.2">
      <c r="F182" s="187">
        <v>27</v>
      </c>
      <c r="G182" s="874">
        <f t="shared" ca="1" si="11"/>
        <v>44595</v>
      </c>
      <c r="H182" s="875"/>
      <c r="I182" s="876"/>
      <c r="J182" s="809" t="e">
        <f ca="1">IF(F182&lt;=$AO$147,0,Apoio!E276)</f>
        <v>#N/A</v>
      </c>
      <c r="K182" s="848"/>
      <c r="L182" s="810"/>
      <c r="M182" s="809" t="e">
        <f t="shared" si="1"/>
        <v>#N/A</v>
      </c>
      <c r="N182" s="810"/>
      <c r="O182" s="809" t="e">
        <f t="shared" ca="1" si="6"/>
        <v>#N/A</v>
      </c>
      <c r="P182" s="810"/>
      <c r="Q182" s="842"/>
      <c r="R182" s="843"/>
      <c r="S182" s="809" t="e">
        <f t="shared" ca="1" si="2"/>
        <v>#N/A</v>
      </c>
      <c r="T182" s="810"/>
      <c r="AC182" s="105" t="e">
        <f t="shared" si="7"/>
        <v>#REF!</v>
      </c>
      <c r="AD182" s="105" t="e">
        <f>IF(AND(AC182&gt;=#REF!,AC182&lt;(#REF!+#REF!*$A$76)),#REF!,0)</f>
        <v>#REF!</v>
      </c>
      <c r="AE182" s="105" t="e">
        <f t="shared" si="8"/>
        <v>#REF!</v>
      </c>
      <c r="AF182" s="105" t="e">
        <f>IF(AND(AE182&gt;=#REF!,AE182&lt;(#REF!+#REF!*$A$83)),#REF!,0)</f>
        <v>#REF!</v>
      </c>
      <c r="AG182" s="105">
        <f t="shared" si="9"/>
        <v>333</v>
      </c>
      <c r="AH182" s="105">
        <f t="shared" si="3"/>
        <v>0</v>
      </c>
      <c r="AI182" s="105">
        <f t="shared" si="10"/>
        <v>5</v>
      </c>
      <c r="AJ182" s="105">
        <f t="shared" si="4"/>
        <v>0</v>
      </c>
      <c r="AK182" s="105">
        <v>28</v>
      </c>
      <c r="AL182" s="105" t="e">
        <f t="shared" si="5"/>
        <v>#N/A</v>
      </c>
      <c r="AM182" s="105">
        <v>28</v>
      </c>
      <c r="AN182" s="105">
        <f t="shared" si="0"/>
        <v>0</v>
      </c>
    </row>
    <row r="183" spans="6:40" ht="15" hidden="1" x14ac:dyDescent="0.2">
      <c r="F183" s="187">
        <v>28</v>
      </c>
      <c r="G183" s="874">
        <f t="shared" ca="1" si="11"/>
        <v>44623</v>
      </c>
      <c r="H183" s="875"/>
      <c r="I183" s="876"/>
      <c r="J183" s="809" t="e">
        <f ca="1">IF(F183&lt;=$AO$147,0,Apoio!E277)</f>
        <v>#N/A</v>
      </c>
      <c r="K183" s="848"/>
      <c r="L183" s="810"/>
      <c r="M183" s="809" t="e">
        <f t="shared" si="1"/>
        <v>#N/A</v>
      </c>
      <c r="N183" s="810"/>
      <c r="O183" s="809" t="e">
        <f t="shared" ca="1" si="6"/>
        <v>#N/A</v>
      </c>
      <c r="P183" s="810"/>
      <c r="Q183" s="842"/>
      <c r="R183" s="843"/>
      <c r="S183" s="809" t="e">
        <f t="shared" ca="1" si="2"/>
        <v>#N/A</v>
      </c>
      <c r="T183" s="810"/>
      <c r="AC183" s="105" t="e">
        <f t="shared" si="7"/>
        <v>#REF!</v>
      </c>
      <c r="AD183" s="105" t="e">
        <f>IF(AND(AC183&gt;=#REF!,AC183&lt;(#REF!+#REF!*$A$76)),#REF!,0)</f>
        <v>#REF!</v>
      </c>
      <c r="AE183" s="105" t="e">
        <f t="shared" si="8"/>
        <v>#REF!</v>
      </c>
      <c r="AF183" s="105" t="e">
        <f>IF(AND(AE183&gt;=#REF!,AE183&lt;(#REF!+#REF!*$A$83)),#REF!,0)</f>
        <v>#REF!</v>
      </c>
      <c r="AG183" s="105">
        <f t="shared" si="9"/>
        <v>345</v>
      </c>
      <c r="AH183" s="105">
        <f t="shared" si="3"/>
        <v>0</v>
      </c>
      <c r="AI183" s="105">
        <f t="shared" si="10"/>
        <v>5</v>
      </c>
      <c r="AJ183" s="105">
        <f t="shared" si="4"/>
        <v>0</v>
      </c>
      <c r="AK183" s="105">
        <v>29</v>
      </c>
      <c r="AL183" s="105" t="e">
        <f t="shared" si="5"/>
        <v>#N/A</v>
      </c>
      <c r="AM183" s="105">
        <v>29</v>
      </c>
      <c r="AN183" s="105">
        <f t="shared" si="0"/>
        <v>0</v>
      </c>
    </row>
    <row r="184" spans="6:40" ht="15" hidden="1" x14ac:dyDescent="0.2">
      <c r="F184" s="187">
        <v>29</v>
      </c>
      <c r="G184" s="874">
        <f t="shared" ca="1" si="11"/>
        <v>44654</v>
      </c>
      <c r="H184" s="875"/>
      <c r="I184" s="876"/>
      <c r="J184" s="809" t="e">
        <f ca="1">IF(F184&lt;=$AO$147,0,Apoio!E278)</f>
        <v>#N/A</v>
      </c>
      <c r="K184" s="848"/>
      <c r="L184" s="810"/>
      <c r="M184" s="809" t="e">
        <f t="shared" si="1"/>
        <v>#N/A</v>
      </c>
      <c r="N184" s="810"/>
      <c r="O184" s="809" t="e">
        <f t="shared" ca="1" si="6"/>
        <v>#N/A</v>
      </c>
      <c r="P184" s="810"/>
      <c r="Q184" s="842"/>
      <c r="R184" s="843"/>
      <c r="S184" s="809" t="e">
        <f t="shared" ca="1" si="2"/>
        <v>#N/A</v>
      </c>
      <c r="T184" s="810"/>
      <c r="AC184" s="105" t="e">
        <f t="shared" si="7"/>
        <v>#REF!</v>
      </c>
      <c r="AD184" s="105" t="e">
        <f>IF(AND(AC184&gt;=#REF!,AC184&lt;(#REF!+#REF!*$A$76)),#REF!,0)</f>
        <v>#REF!</v>
      </c>
      <c r="AE184" s="105" t="e">
        <f t="shared" si="8"/>
        <v>#REF!</v>
      </c>
      <c r="AF184" s="105" t="e">
        <f>IF(AND(AE184&gt;=#REF!,AE184&lt;(#REF!+#REF!*$A$83)),#REF!,0)</f>
        <v>#REF!</v>
      </c>
      <c r="AG184" s="105">
        <f t="shared" si="9"/>
        <v>357</v>
      </c>
      <c r="AH184" s="105">
        <f t="shared" si="3"/>
        <v>0</v>
      </c>
      <c r="AI184" s="105">
        <f t="shared" si="10"/>
        <v>5</v>
      </c>
      <c r="AJ184" s="105">
        <f t="shared" si="4"/>
        <v>0</v>
      </c>
      <c r="AK184" s="105">
        <v>30</v>
      </c>
      <c r="AL184" s="105" t="e">
        <f t="shared" si="5"/>
        <v>#N/A</v>
      </c>
      <c r="AM184" s="105">
        <v>30</v>
      </c>
      <c r="AN184" s="105">
        <f t="shared" si="0"/>
        <v>0</v>
      </c>
    </row>
    <row r="185" spans="6:40" ht="15" hidden="1" x14ac:dyDescent="0.2">
      <c r="F185" s="187">
        <v>30</v>
      </c>
      <c r="G185" s="874">
        <f t="shared" ca="1" si="11"/>
        <v>44684</v>
      </c>
      <c r="H185" s="875"/>
      <c r="I185" s="876"/>
      <c r="J185" s="809" t="e">
        <f ca="1">IF(F185&lt;=$AO$147,0,Apoio!E279)</f>
        <v>#N/A</v>
      </c>
      <c r="K185" s="848"/>
      <c r="L185" s="810"/>
      <c r="M185" s="809" t="e">
        <f t="shared" si="1"/>
        <v>#N/A</v>
      </c>
      <c r="N185" s="810"/>
      <c r="O185" s="809" t="e">
        <f t="shared" ca="1" si="6"/>
        <v>#N/A</v>
      </c>
      <c r="P185" s="810"/>
      <c r="Q185" s="842"/>
      <c r="R185" s="843"/>
      <c r="S185" s="809" t="e">
        <f t="shared" ca="1" si="2"/>
        <v>#N/A</v>
      </c>
      <c r="T185" s="810"/>
      <c r="AC185" s="105" t="e">
        <f t="shared" si="7"/>
        <v>#REF!</v>
      </c>
      <c r="AD185" s="105" t="e">
        <f>IF(AND(AC185&gt;=#REF!,AC185&lt;(#REF!+#REF!*$A$76)),#REF!,0)</f>
        <v>#REF!</v>
      </c>
      <c r="AE185" s="105" t="e">
        <f t="shared" si="8"/>
        <v>#REF!</v>
      </c>
      <c r="AF185" s="105" t="e">
        <f>IF(AND(AE185&gt;=#REF!,AE185&lt;(#REF!+#REF!*$A$83)),#REF!,0)</f>
        <v>#REF!</v>
      </c>
      <c r="AG185" s="105">
        <f t="shared" si="9"/>
        <v>369</v>
      </c>
      <c r="AH185" s="105">
        <f t="shared" si="3"/>
        <v>0</v>
      </c>
      <c r="AI185" s="105">
        <f t="shared" si="10"/>
        <v>5</v>
      </c>
      <c r="AJ185" s="105">
        <f t="shared" si="4"/>
        <v>0</v>
      </c>
      <c r="AK185" s="105">
        <v>31</v>
      </c>
      <c r="AL185" s="105" t="e">
        <f t="shared" si="5"/>
        <v>#N/A</v>
      </c>
      <c r="AM185" s="105">
        <v>31</v>
      </c>
      <c r="AN185" s="105">
        <f t="shared" si="0"/>
        <v>0</v>
      </c>
    </row>
    <row r="186" spans="6:40" ht="15" hidden="1" x14ac:dyDescent="0.2">
      <c r="F186" s="187">
        <v>31</v>
      </c>
      <c r="G186" s="874">
        <f t="shared" ca="1" si="11"/>
        <v>44715</v>
      </c>
      <c r="H186" s="875"/>
      <c r="I186" s="876"/>
      <c r="J186" s="809" t="e">
        <f ca="1">IF(F186&lt;=$AO$147,0,Apoio!E280)</f>
        <v>#N/A</v>
      </c>
      <c r="K186" s="848"/>
      <c r="L186" s="810"/>
      <c r="M186" s="809" t="e">
        <f t="shared" si="1"/>
        <v>#N/A</v>
      </c>
      <c r="N186" s="810"/>
      <c r="O186" s="809" t="e">
        <f t="shared" ca="1" si="6"/>
        <v>#N/A</v>
      </c>
      <c r="P186" s="810"/>
      <c r="Q186" s="842"/>
      <c r="R186" s="843"/>
      <c r="S186" s="809" t="e">
        <f t="shared" ca="1" si="2"/>
        <v>#N/A</v>
      </c>
      <c r="T186" s="810"/>
      <c r="AC186" s="105" t="e">
        <f t="shared" si="7"/>
        <v>#REF!</v>
      </c>
      <c r="AD186" s="105" t="e">
        <f>IF(AND(AC186&gt;=#REF!,AC186&lt;(#REF!+#REF!*$A$76)),#REF!,0)</f>
        <v>#REF!</v>
      </c>
      <c r="AE186" s="105" t="e">
        <f t="shared" si="8"/>
        <v>#REF!</v>
      </c>
      <c r="AF186" s="105" t="e">
        <f>IF(AND(AE186&gt;=#REF!,AE186&lt;(#REF!+#REF!*$A$83)),#REF!,0)</f>
        <v>#REF!</v>
      </c>
      <c r="AG186" s="105">
        <f t="shared" si="9"/>
        <v>381</v>
      </c>
      <c r="AH186" s="105">
        <f t="shared" si="3"/>
        <v>0</v>
      </c>
      <c r="AI186" s="105">
        <f t="shared" si="10"/>
        <v>5</v>
      </c>
      <c r="AJ186" s="105">
        <f t="shared" si="4"/>
        <v>0</v>
      </c>
      <c r="AK186" s="105">
        <v>32</v>
      </c>
      <c r="AL186" s="105" t="e">
        <f t="shared" si="5"/>
        <v>#N/A</v>
      </c>
      <c r="AM186" s="105">
        <v>32</v>
      </c>
      <c r="AN186" s="105">
        <f t="shared" si="0"/>
        <v>0</v>
      </c>
    </row>
    <row r="187" spans="6:40" ht="15" hidden="1" x14ac:dyDescent="0.2">
      <c r="F187" s="187">
        <v>32</v>
      </c>
      <c r="G187" s="874">
        <f t="shared" ca="1" si="11"/>
        <v>44745</v>
      </c>
      <c r="H187" s="875"/>
      <c r="I187" s="876"/>
      <c r="J187" s="809" t="e">
        <f ca="1">IF(F187&lt;=$AO$147,0,Apoio!E281)</f>
        <v>#N/A</v>
      </c>
      <c r="K187" s="848"/>
      <c r="L187" s="810"/>
      <c r="M187" s="809" t="e">
        <f t="shared" si="1"/>
        <v>#N/A</v>
      </c>
      <c r="N187" s="810"/>
      <c r="O187" s="809" t="e">
        <f t="shared" ca="1" si="6"/>
        <v>#N/A</v>
      </c>
      <c r="P187" s="810"/>
      <c r="Q187" s="842"/>
      <c r="R187" s="843"/>
      <c r="S187" s="809" t="e">
        <f t="shared" ca="1" si="2"/>
        <v>#N/A</v>
      </c>
      <c r="T187" s="810"/>
      <c r="AC187" s="105" t="e">
        <f t="shared" si="7"/>
        <v>#REF!</v>
      </c>
      <c r="AD187" s="105" t="e">
        <f>IF(AND(AC187&gt;=#REF!,AC187&lt;(#REF!+#REF!*$A$76)),#REF!,0)</f>
        <v>#REF!</v>
      </c>
      <c r="AE187" s="105" t="e">
        <f t="shared" si="8"/>
        <v>#REF!</v>
      </c>
      <c r="AF187" s="105" t="e">
        <f>IF(AND(AE187&gt;=#REF!,AE187&lt;(#REF!+#REF!*$A$83)),#REF!,0)</f>
        <v>#REF!</v>
      </c>
      <c r="AG187" s="105">
        <f t="shared" si="9"/>
        <v>393</v>
      </c>
      <c r="AH187" s="105">
        <f t="shared" si="3"/>
        <v>0</v>
      </c>
      <c r="AI187" s="105">
        <f t="shared" si="10"/>
        <v>5</v>
      </c>
      <c r="AJ187" s="105">
        <f t="shared" si="4"/>
        <v>0</v>
      </c>
      <c r="AK187" s="105">
        <v>33</v>
      </c>
      <c r="AL187" s="105" t="e">
        <f t="shared" si="5"/>
        <v>#N/A</v>
      </c>
      <c r="AM187" s="105">
        <v>33</v>
      </c>
      <c r="AN187" s="105">
        <f t="shared" si="0"/>
        <v>0</v>
      </c>
    </row>
    <row r="188" spans="6:40" ht="15" hidden="1" x14ac:dyDescent="0.2">
      <c r="F188" s="187">
        <v>33</v>
      </c>
      <c r="G188" s="874">
        <f t="shared" ca="1" si="11"/>
        <v>44776</v>
      </c>
      <c r="H188" s="875"/>
      <c r="I188" s="876"/>
      <c r="J188" s="809" t="e">
        <f ca="1">IF(F188&lt;=$AO$147,0,Apoio!E282)</f>
        <v>#N/A</v>
      </c>
      <c r="K188" s="848"/>
      <c r="L188" s="810"/>
      <c r="M188" s="809" t="e">
        <f t="shared" si="1"/>
        <v>#N/A</v>
      </c>
      <c r="N188" s="810"/>
      <c r="O188" s="809" t="e">
        <f t="shared" ca="1" si="6"/>
        <v>#N/A</v>
      </c>
      <c r="P188" s="810"/>
      <c r="Q188" s="842"/>
      <c r="R188" s="843"/>
      <c r="S188" s="809" t="e">
        <f t="shared" ca="1" si="2"/>
        <v>#N/A</v>
      </c>
      <c r="T188" s="810"/>
      <c r="AC188" s="105" t="e">
        <f t="shared" si="7"/>
        <v>#REF!</v>
      </c>
      <c r="AD188" s="105" t="e">
        <f>IF(AND(AC188&gt;=#REF!,AC188&lt;(#REF!+#REF!*$A$76)),#REF!,0)</f>
        <v>#REF!</v>
      </c>
      <c r="AE188" s="105" t="e">
        <f t="shared" si="8"/>
        <v>#REF!</v>
      </c>
      <c r="AF188" s="105" t="e">
        <f>IF(AND(AE188&gt;=#REF!,AE188&lt;(#REF!+#REF!*$A$83)),#REF!,0)</f>
        <v>#REF!</v>
      </c>
      <c r="AG188" s="105">
        <f t="shared" si="9"/>
        <v>405</v>
      </c>
      <c r="AH188" s="105">
        <f t="shared" si="3"/>
        <v>0</v>
      </c>
      <c r="AI188" s="105">
        <f t="shared" si="10"/>
        <v>5</v>
      </c>
      <c r="AJ188" s="105">
        <f t="shared" si="4"/>
        <v>0</v>
      </c>
      <c r="AK188" s="105">
        <v>34</v>
      </c>
      <c r="AL188" s="105" t="e">
        <f t="shared" si="5"/>
        <v>#N/A</v>
      </c>
      <c r="AM188" s="105">
        <v>34</v>
      </c>
      <c r="AN188" s="105">
        <f t="shared" si="0"/>
        <v>0</v>
      </c>
    </row>
    <row r="189" spans="6:40" ht="15" hidden="1" x14ac:dyDescent="0.2">
      <c r="F189" s="187">
        <v>34</v>
      </c>
      <c r="G189" s="874">
        <f t="shared" ca="1" si="11"/>
        <v>44807</v>
      </c>
      <c r="H189" s="875"/>
      <c r="I189" s="876"/>
      <c r="J189" s="809" t="e">
        <f ca="1">IF(F189&lt;=$AO$147,0,Apoio!E283)</f>
        <v>#N/A</v>
      </c>
      <c r="K189" s="848"/>
      <c r="L189" s="810"/>
      <c r="M189" s="809" t="e">
        <f t="shared" si="1"/>
        <v>#N/A</v>
      </c>
      <c r="N189" s="810"/>
      <c r="O189" s="809" t="e">
        <f t="shared" ca="1" si="6"/>
        <v>#N/A</v>
      </c>
      <c r="P189" s="810"/>
      <c r="Q189" s="842"/>
      <c r="R189" s="843"/>
      <c r="S189" s="809" t="e">
        <f t="shared" ca="1" si="2"/>
        <v>#N/A</v>
      </c>
      <c r="T189" s="810"/>
      <c r="AC189" s="105" t="e">
        <f t="shared" si="7"/>
        <v>#REF!</v>
      </c>
      <c r="AD189" s="105" t="e">
        <f>IF(AND(AC189&gt;=#REF!,AC189&lt;(#REF!+#REF!*$A$76)),#REF!,0)</f>
        <v>#REF!</v>
      </c>
      <c r="AE189" s="105" t="e">
        <f t="shared" si="8"/>
        <v>#REF!</v>
      </c>
      <c r="AF189" s="105" t="e">
        <f>IF(AND(AE189&gt;=#REF!,AE189&lt;(#REF!+#REF!*$A$83)),#REF!,0)</f>
        <v>#REF!</v>
      </c>
      <c r="AG189" s="105">
        <f t="shared" si="9"/>
        <v>417</v>
      </c>
      <c r="AH189" s="105">
        <f t="shared" si="3"/>
        <v>0</v>
      </c>
      <c r="AI189" s="105">
        <f t="shared" si="10"/>
        <v>5</v>
      </c>
      <c r="AJ189" s="105">
        <f t="shared" si="4"/>
        <v>0</v>
      </c>
      <c r="AK189" s="105">
        <v>35</v>
      </c>
      <c r="AL189" s="105" t="e">
        <f t="shared" si="5"/>
        <v>#N/A</v>
      </c>
      <c r="AM189" s="105">
        <v>35</v>
      </c>
      <c r="AN189" s="105">
        <f t="shared" si="0"/>
        <v>0</v>
      </c>
    </row>
    <row r="190" spans="6:40" ht="15" hidden="1" x14ac:dyDescent="0.2">
      <c r="F190" s="187">
        <v>35</v>
      </c>
      <c r="G190" s="874">
        <f t="shared" ca="1" si="11"/>
        <v>44837</v>
      </c>
      <c r="H190" s="875"/>
      <c r="I190" s="876"/>
      <c r="J190" s="809" t="e">
        <f ca="1">IF(F190&lt;=$AO$147,0,Apoio!E284)</f>
        <v>#N/A</v>
      </c>
      <c r="K190" s="848"/>
      <c r="L190" s="810"/>
      <c r="M190" s="809" t="e">
        <f t="shared" si="1"/>
        <v>#N/A</v>
      </c>
      <c r="N190" s="810"/>
      <c r="O190" s="809" t="e">
        <f t="shared" ca="1" si="6"/>
        <v>#N/A</v>
      </c>
      <c r="P190" s="810"/>
      <c r="Q190" s="842"/>
      <c r="R190" s="843"/>
      <c r="S190" s="809" t="e">
        <f t="shared" ca="1" si="2"/>
        <v>#N/A</v>
      </c>
      <c r="T190" s="810"/>
      <c r="AC190" s="105" t="e">
        <f t="shared" ref="AC190:AC195" si="12">AC189+$A$76</f>
        <v>#REF!</v>
      </c>
      <c r="AD190" s="105" t="e">
        <f>IF(AND(AC190&gt;=#REF!,AC190&lt;(#REF!+#REF!*$A$76)),#REF!,0)</f>
        <v>#REF!</v>
      </c>
      <c r="AE190" s="105" t="e">
        <f t="shared" ref="AE190:AE195" si="13">AE189+$A$83</f>
        <v>#REF!</v>
      </c>
      <c r="AF190" s="105" t="e">
        <f>IF(AND(AE190&gt;=#REF!,AE190&lt;(#REF!+#REF!*$A$83)),#REF!,0)</f>
        <v>#REF!</v>
      </c>
      <c r="AG190" s="105">
        <f t="shared" ref="AG190:AG195" si="14">AG189+$A$85</f>
        <v>429</v>
      </c>
      <c r="AH190" s="105">
        <f t="shared" si="3"/>
        <v>0</v>
      </c>
      <c r="AI190" s="105">
        <f t="shared" ref="AI190:AI195" si="15">AI189+$A$87</f>
        <v>5</v>
      </c>
      <c r="AJ190" s="105">
        <f t="shared" si="4"/>
        <v>0</v>
      </c>
      <c r="AK190" s="105">
        <v>36</v>
      </c>
      <c r="AL190" s="105" t="e">
        <f t="shared" si="5"/>
        <v>#N/A</v>
      </c>
      <c r="AM190" s="105">
        <v>36</v>
      </c>
      <c r="AN190" s="105">
        <f t="shared" si="0"/>
        <v>0</v>
      </c>
    </row>
    <row r="191" spans="6:40" ht="15" hidden="1" x14ac:dyDescent="0.2">
      <c r="F191" s="187">
        <v>36</v>
      </c>
      <c r="G191" s="874">
        <f t="shared" ca="1" si="11"/>
        <v>44868</v>
      </c>
      <c r="H191" s="875"/>
      <c r="I191" s="876"/>
      <c r="J191" s="809" t="e">
        <f ca="1">IF(F191&lt;=$AO$147,0,Apoio!E285)</f>
        <v>#N/A</v>
      </c>
      <c r="K191" s="848"/>
      <c r="L191" s="810"/>
      <c r="M191" s="809" t="e">
        <f t="shared" si="1"/>
        <v>#N/A</v>
      </c>
      <c r="N191" s="810"/>
      <c r="O191" s="809" t="e">
        <f t="shared" ca="1" si="6"/>
        <v>#N/A</v>
      </c>
      <c r="P191" s="810"/>
      <c r="Q191" s="842"/>
      <c r="R191" s="843"/>
      <c r="S191" s="809" t="e">
        <f t="shared" ca="1" si="2"/>
        <v>#N/A</v>
      </c>
      <c r="T191" s="810"/>
      <c r="AC191" s="105" t="e">
        <f t="shared" si="12"/>
        <v>#REF!</v>
      </c>
      <c r="AD191" s="105" t="e">
        <f>IF(AND(AC191&gt;=#REF!,AC191&lt;(#REF!+#REF!*$A$76)),#REF!,0)</f>
        <v>#REF!</v>
      </c>
      <c r="AE191" s="105" t="e">
        <f t="shared" si="13"/>
        <v>#REF!</v>
      </c>
      <c r="AF191" s="105" t="e">
        <f>IF(AND(AE191&gt;=#REF!,AE191&lt;(#REF!+#REF!*$A$83)),#REF!,0)</f>
        <v>#REF!</v>
      </c>
      <c r="AG191" s="105">
        <f t="shared" si="14"/>
        <v>441</v>
      </c>
      <c r="AH191" s="105">
        <f t="shared" si="3"/>
        <v>0</v>
      </c>
      <c r="AI191" s="105">
        <f t="shared" si="15"/>
        <v>5</v>
      </c>
      <c r="AJ191" s="105">
        <f t="shared" si="4"/>
        <v>0</v>
      </c>
      <c r="AK191" s="105">
        <v>37</v>
      </c>
      <c r="AL191" s="105" t="e">
        <f t="shared" si="5"/>
        <v>#N/A</v>
      </c>
      <c r="AM191" s="105">
        <v>37</v>
      </c>
      <c r="AN191" s="105">
        <f t="shared" si="0"/>
        <v>100</v>
      </c>
    </row>
    <row r="192" spans="6:40" ht="15" hidden="1" x14ac:dyDescent="0.2">
      <c r="F192" s="187">
        <v>37</v>
      </c>
      <c r="G192" s="874">
        <f t="shared" ca="1" si="11"/>
        <v>44898</v>
      </c>
      <c r="H192" s="875"/>
      <c r="I192" s="876"/>
      <c r="J192" s="809" t="e">
        <f ca="1">IF(F192&lt;=$AO$147,0,Apoio!E286)</f>
        <v>#N/A</v>
      </c>
      <c r="K192" s="848"/>
      <c r="L192" s="810"/>
      <c r="M192" s="809" t="e">
        <f t="shared" si="1"/>
        <v>#N/A</v>
      </c>
      <c r="N192" s="810"/>
      <c r="O192" s="809" t="e">
        <f t="shared" ca="1" si="6"/>
        <v>#N/A</v>
      </c>
      <c r="P192" s="810"/>
      <c r="Q192" s="842"/>
      <c r="R192" s="843"/>
      <c r="S192" s="809" t="e">
        <f t="shared" ca="1" si="2"/>
        <v>#N/A</v>
      </c>
      <c r="T192" s="810"/>
      <c r="AC192" s="105" t="e">
        <f t="shared" si="12"/>
        <v>#REF!</v>
      </c>
      <c r="AD192" s="105" t="e">
        <f>IF(AND(AC192&gt;=#REF!,AC192&lt;(#REF!+#REF!*$A$76)),#REF!,0)</f>
        <v>#REF!</v>
      </c>
      <c r="AE192" s="105" t="e">
        <f t="shared" si="13"/>
        <v>#REF!</v>
      </c>
      <c r="AF192" s="105" t="e">
        <f>IF(AND(AE192&gt;=#REF!,AE192&lt;(#REF!+#REF!*$A$83)),#REF!,0)</f>
        <v>#REF!</v>
      </c>
      <c r="AG192" s="105">
        <f t="shared" si="14"/>
        <v>453</v>
      </c>
      <c r="AH192" s="105">
        <f t="shared" si="3"/>
        <v>0</v>
      </c>
      <c r="AI192" s="105">
        <f t="shared" si="15"/>
        <v>5</v>
      </c>
      <c r="AJ192" s="105">
        <f t="shared" si="4"/>
        <v>0</v>
      </c>
      <c r="AK192" s="105">
        <v>38</v>
      </c>
      <c r="AL192" s="105" t="e">
        <f t="shared" si="5"/>
        <v>#N/A</v>
      </c>
      <c r="AM192" s="105">
        <v>38</v>
      </c>
      <c r="AN192" s="105">
        <f t="shared" si="0"/>
        <v>0</v>
      </c>
    </row>
    <row r="193" spans="6:40" ht="15" hidden="1" x14ac:dyDescent="0.2">
      <c r="F193" s="187">
        <v>38</v>
      </c>
      <c r="G193" s="874">
        <f t="shared" ca="1" si="11"/>
        <v>44929</v>
      </c>
      <c r="H193" s="875"/>
      <c r="I193" s="876"/>
      <c r="J193" s="809" t="e">
        <f ca="1">IF(F193&lt;=$AO$147,0,Apoio!E287)</f>
        <v>#N/A</v>
      </c>
      <c r="K193" s="848"/>
      <c r="L193" s="810"/>
      <c r="M193" s="809" t="e">
        <f t="shared" si="1"/>
        <v>#N/A</v>
      </c>
      <c r="N193" s="810"/>
      <c r="O193" s="809" t="e">
        <f t="shared" ca="1" si="6"/>
        <v>#N/A</v>
      </c>
      <c r="P193" s="810"/>
      <c r="Q193" s="842"/>
      <c r="R193" s="843"/>
      <c r="S193" s="809" t="e">
        <f t="shared" ca="1" si="2"/>
        <v>#N/A</v>
      </c>
      <c r="T193" s="810"/>
      <c r="AC193" s="105" t="e">
        <f t="shared" si="12"/>
        <v>#REF!</v>
      </c>
      <c r="AD193" s="105" t="e">
        <f>IF(AND(AC193&gt;=#REF!,AC193&lt;(#REF!+#REF!*$A$76)),#REF!,0)</f>
        <v>#REF!</v>
      </c>
      <c r="AE193" s="105" t="e">
        <f t="shared" si="13"/>
        <v>#REF!</v>
      </c>
      <c r="AF193" s="105" t="e">
        <f>IF(AND(AE193&gt;=#REF!,AE193&lt;(#REF!+#REF!*$A$83)),#REF!,0)</f>
        <v>#REF!</v>
      </c>
      <c r="AG193" s="105">
        <f t="shared" si="14"/>
        <v>465</v>
      </c>
      <c r="AH193" s="105">
        <f t="shared" si="3"/>
        <v>0</v>
      </c>
      <c r="AI193" s="105">
        <f t="shared" si="15"/>
        <v>5</v>
      </c>
      <c r="AJ193" s="105">
        <f t="shared" si="4"/>
        <v>0</v>
      </c>
      <c r="AK193" s="105">
        <v>39</v>
      </c>
      <c r="AL193" s="105" t="e">
        <f t="shared" si="5"/>
        <v>#N/A</v>
      </c>
      <c r="AM193" s="105">
        <v>39</v>
      </c>
      <c r="AN193" s="105">
        <f t="shared" si="0"/>
        <v>0</v>
      </c>
    </row>
    <row r="194" spans="6:40" ht="15" hidden="1" x14ac:dyDescent="0.2">
      <c r="F194" s="187">
        <v>39</v>
      </c>
      <c r="G194" s="874">
        <f t="shared" ca="1" si="11"/>
        <v>44960</v>
      </c>
      <c r="H194" s="875"/>
      <c r="I194" s="876"/>
      <c r="J194" s="809" t="e">
        <f ca="1">IF(F194&lt;=$AO$147,0,Apoio!E288)</f>
        <v>#N/A</v>
      </c>
      <c r="K194" s="848"/>
      <c r="L194" s="810"/>
      <c r="M194" s="809" t="e">
        <f t="shared" si="1"/>
        <v>#N/A</v>
      </c>
      <c r="N194" s="810"/>
      <c r="O194" s="809" t="e">
        <f t="shared" ca="1" si="6"/>
        <v>#N/A</v>
      </c>
      <c r="P194" s="810"/>
      <c r="Q194" s="842"/>
      <c r="R194" s="843"/>
      <c r="S194" s="809">
        <f t="shared" si="2"/>
        <v>0</v>
      </c>
      <c r="T194" s="810"/>
      <c r="AC194" s="105" t="e">
        <f t="shared" si="12"/>
        <v>#REF!</v>
      </c>
      <c r="AD194" s="105" t="e">
        <f>IF(AND(AC194&gt;=#REF!,AC194&lt;(#REF!+#REF!*$A$76)),#REF!,0)</f>
        <v>#REF!</v>
      </c>
      <c r="AE194" s="105" t="e">
        <f t="shared" si="13"/>
        <v>#REF!</v>
      </c>
      <c r="AF194" s="105" t="e">
        <f>IF(AND(AE194&gt;=#REF!,AE194&lt;(#REF!+#REF!*$A$83)),#REF!,0)</f>
        <v>#REF!</v>
      </c>
      <c r="AG194" s="105">
        <f t="shared" si="14"/>
        <v>477</v>
      </c>
      <c r="AH194" s="105">
        <f t="shared" si="3"/>
        <v>0</v>
      </c>
      <c r="AI194" s="105">
        <f t="shared" si="15"/>
        <v>5</v>
      </c>
      <c r="AJ194" s="105">
        <f t="shared" si="4"/>
        <v>0</v>
      </c>
      <c r="AK194" s="105">
        <v>40</v>
      </c>
      <c r="AL194" s="105" t="e">
        <f t="shared" si="5"/>
        <v>#N/A</v>
      </c>
      <c r="AM194" s="105">
        <v>40</v>
      </c>
      <c r="AN194" s="105">
        <f t="shared" si="0"/>
        <v>0</v>
      </c>
    </row>
    <row r="195" spans="6:40" ht="15" hidden="1" x14ac:dyDescent="0.2">
      <c r="F195" s="187">
        <v>40</v>
      </c>
      <c r="G195" s="874">
        <f t="shared" ca="1" si="11"/>
        <v>44988</v>
      </c>
      <c r="H195" s="875"/>
      <c r="I195" s="876"/>
      <c r="J195" s="809" t="e">
        <f ca="1">IF(F195&lt;=$AO$147,0,Apoio!E289)</f>
        <v>#N/A</v>
      </c>
      <c r="K195" s="848"/>
      <c r="L195" s="810"/>
      <c r="M195" s="809" t="e">
        <f t="shared" si="1"/>
        <v>#N/A</v>
      </c>
      <c r="N195" s="810"/>
      <c r="O195" s="809" t="e">
        <f t="shared" ca="1" si="6"/>
        <v>#N/A</v>
      </c>
      <c r="P195" s="810"/>
      <c r="Q195" s="842"/>
      <c r="R195" s="843"/>
      <c r="S195" s="809">
        <f t="shared" si="2"/>
        <v>0</v>
      </c>
      <c r="T195" s="810"/>
      <c r="AC195" s="105" t="e">
        <f t="shared" si="12"/>
        <v>#REF!</v>
      </c>
      <c r="AD195" s="105" t="e">
        <f>IF(AND(AC195&gt;=#REF!,AC195&lt;(#REF!+#REF!*$A$76)),#REF!,0)</f>
        <v>#REF!</v>
      </c>
      <c r="AE195" s="105" t="e">
        <f t="shared" si="13"/>
        <v>#REF!</v>
      </c>
      <c r="AF195" s="105" t="e">
        <f>IF(AND(AE195&gt;=#REF!,AE195&lt;(#REF!+#REF!*$A$83)),#REF!,0)</f>
        <v>#REF!</v>
      </c>
      <c r="AG195" s="105">
        <f t="shared" si="14"/>
        <v>489</v>
      </c>
      <c r="AH195" s="105">
        <f t="shared" si="3"/>
        <v>0</v>
      </c>
      <c r="AI195" s="105">
        <f t="shared" si="15"/>
        <v>5</v>
      </c>
      <c r="AJ195" s="105">
        <f t="shared" si="4"/>
        <v>0</v>
      </c>
      <c r="AK195" s="105">
        <v>41</v>
      </c>
      <c r="AL195" s="105" t="e">
        <f t="shared" si="5"/>
        <v>#N/A</v>
      </c>
      <c r="AM195" s="105">
        <v>41</v>
      </c>
      <c r="AN195" s="105">
        <f t="shared" si="0"/>
        <v>0</v>
      </c>
    </row>
    <row r="196" spans="6:40" ht="20.25" hidden="1" x14ac:dyDescent="0.2">
      <c r="O196" s="1067"/>
      <c r="P196" s="1067"/>
      <c r="Q196" s="106"/>
      <c r="R196" s="106"/>
      <c r="AC196" s="105">
        <v>1</v>
      </c>
      <c r="AD196" s="105">
        <v>0</v>
      </c>
      <c r="AE196" s="105">
        <v>1</v>
      </c>
      <c r="AF196" s="105">
        <v>0</v>
      </c>
      <c r="AG196" s="105">
        <v>1</v>
      </c>
      <c r="AH196" s="105">
        <v>0</v>
      </c>
      <c r="AI196" s="105">
        <v>1</v>
      </c>
      <c r="AJ196" s="105">
        <v>0</v>
      </c>
      <c r="AK196" s="105">
        <v>1</v>
      </c>
      <c r="AL196" s="105">
        <v>0</v>
      </c>
      <c r="AM196" s="105">
        <v>1</v>
      </c>
      <c r="AN196" s="105">
        <v>0</v>
      </c>
    </row>
    <row r="197" spans="6:40" ht="20.25" hidden="1" x14ac:dyDescent="0.2">
      <c r="O197" s="1066"/>
      <c r="P197" s="1066"/>
      <c r="Q197" s="106"/>
      <c r="R197" s="106"/>
      <c r="AC197" s="105">
        <v>2</v>
      </c>
      <c r="AD197" s="105">
        <v>0</v>
      </c>
      <c r="AE197" s="105">
        <v>2</v>
      </c>
      <c r="AF197" s="105">
        <v>0</v>
      </c>
      <c r="AG197" s="105">
        <v>2</v>
      </c>
      <c r="AH197" s="105">
        <v>0</v>
      </c>
      <c r="AI197" s="105">
        <v>2</v>
      </c>
      <c r="AJ197" s="105">
        <v>0</v>
      </c>
      <c r="AK197" s="105">
        <v>2</v>
      </c>
      <c r="AL197" s="105">
        <v>0</v>
      </c>
      <c r="AM197" s="105">
        <v>2</v>
      </c>
      <c r="AN197" s="105">
        <v>0</v>
      </c>
    </row>
    <row r="198" spans="6:40" ht="20.25" hidden="1" x14ac:dyDescent="0.2">
      <c r="O198" s="1066"/>
      <c r="P198" s="1066"/>
      <c r="Q198" s="106"/>
      <c r="R198" s="106"/>
      <c r="AC198" s="105">
        <v>3</v>
      </c>
      <c r="AD198" s="105">
        <v>0</v>
      </c>
      <c r="AE198" s="105">
        <v>3</v>
      </c>
      <c r="AF198" s="105">
        <v>0</v>
      </c>
      <c r="AG198" s="105">
        <v>3</v>
      </c>
      <c r="AH198" s="105">
        <v>0</v>
      </c>
      <c r="AI198" s="105">
        <v>3</v>
      </c>
      <c r="AJ198" s="105">
        <v>0</v>
      </c>
      <c r="AK198" s="105">
        <v>3</v>
      </c>
      <c r="AL198" s="105">
        <v>0</v>
      </c>
      <c r="AM198" s="105">
        <v>3</v>
      </c>
      <c r="AN198" s="105">
        <v>0</v>
      </c>
    </row>
    <row r="199" spans="6:40" ht="20.25" hidden="1" x14ac:dyDescent="0.2">
      <c r="O199" s="1066"/>
      <c r="P199" s="1066"/>
      <c r="AC199" s="105">
        <v>4</v>
      </c>
      <c r="AD199" s="105">
        <v>0</v>
      </c>
      <c r="AE199" s="105">
        <v>4</v>
      </c>
      <c r="AF199" s="105">
        <v>0</v>
      </c>
      <c r="AG199" s="105">
        <v>4</v>
      </c>
      <c r="AH199" s="105">
        <v>0</v>
      </c>
      <c r="AI199" s="105">
        <v>4</v>
      </c>
      <c r="AJ199" s="105">
        <v>0</v>
      </c>
      <c r="AK199" s="105">
        <v>4</v>
      </c>
      <c r="AL199" s="105">
        <v>0</v>
      </c>
      <c r="AM199" s="105">
        <v>4</v>
      </c>
      <c r="AN199" s="105">
        <v>0</v>
      </c>
    </row>
    <row r="200" spans="6:40" ht="20.25" hidden="1" x14ac:dyDescent="0.2">
      <c r="O200" s="1066"/>
      <c r="P200" s="1066"/>
      <c r="AC200" s="105">
        <v>5</v>
      </c>
      <c r="AD200" s="105">
        <v>0</v>
      </c>
      <c r="AE200" s="105">
        <v>5</v>
      </c>
      <c r="AF200" s="105">
        <v>0</v>
      </c>
      <c r="AG200" s="105">
        <v>5</v>
      </c>
      <c r="AH200" s="105">
        <v>0</v>
      </c>
      <c r="AI200" s="105">
        <v>5</v>
      </c>
      <c r="AJ200" s="105">
        <v>0</v>
      </c>
      <c r="AK200" s="105">
        <v>5</v>
      </c>
      <c r="AL200" s="105">
        <v>0</v>
      </c>
      <c r="AM200" s="105">
        <v>5</v>
      </c>
      <c r="AN200" s="105">
        <v>0</v>
      </c>
    </row>
    <row r="201" spans="6:40" ht="20.25" hidden="1" x14ac:dyDescent="0.2">
      <c r="O201" s="1066"/>
      <c r="P201" s="1066"/>
      <c r="AC201" s="105">
        <v>6</v>
      </c>
      <c r="AD201" s="105">
        <v>0</v>
      </c>
      <c r="AE201" s="105">
        <v>6</v>
      </c>
      <c r="AF201" s="105">
        <v>0</v>
      </c>
      <c r="AG201" s="105">
        <v>6</v>
      </c>
      <c r="AH201" s="105">
        <v>0</v>
      </c>
      <c r="AI201" s="105">
        <v>6</v>
      </c>
      <c r="AJ201" s="105">
        <v>0</v>
      </c>
      <c r="AK201" s="105">
        <v>6</v>
      </c>
      <c r="AL201" s="105">
        <v>0</v>
      </c>
      <c r="AM201" s="105">
        <v>6</v>
      </c>
      <c r="AN201" s="105">
        <v>0</v>
      </c>
    </row>
    <row r="202" spans="6:40" ht="20.25" hidden="1" x14ac:dyDescent="0.2">
      <c r="O202" s="1066"/>
      <c r="P202" s="1066"/>
      <c r="AC202" s="105">
        <v>7</v>
      </c>
      <c r="AD202" s="105">
        <v>0</v>
      </c>
      <c r="AE202" s="105">
        <v>7</v>
      </c>
      <c r="AF202" s="105">
        <v>0</v>
      </c>
      <c r="AG202" s="105">
        <v>7</v>
      </c>
      <c r="AH202" s="105">
        <v>0</v>
      </c>
      <c r="AI202" s="105">
        <v>7</v>
      </c>
      <c r="AJ202" s="105">
        <v>0</v>
      </c>
      <c r="AK202" s="105">
        <v>7</v>
      </c>
      <c r="AL202" s="105">
        <v>0</v>
      </c>
      <c r="AM202" s="105">
        <v>7</v>
      </c>
      <c r="AN202" s="105">
        <v>0</v>
      </c>
    </row>
    <row r="203" spans="6:40" ht="20.25" hidden="1" x14ac:dyDescent="0.2">
      <c r="O203" s="1066"/>
      <c r="P203" s="1066"/>
      <c r="AC203" s="105">
        <v>8</v>
      </c>
      <c r="AD203" s="105">
        <v>0</v>
      </c>
      <c r="AE203" s="105">
        <v>8</v>
      </c>
      <c r="AF203" s="105">
        <v>0</v>
      </c>
      <c r="AG203" s="105">
        <v>8</v>
      </c>
      <c r="AH203" s="105">
        <v>0</v>
      </c>
      <c r="AI203" s="105">
        <v>8</v>
      </c>
      <c r="AJ203" s="105">
        <v>0</v>
      </c>
      <c r="AK203" s="105">
        <v>8</v>
      </c>
      <c r="AL203" s="105">
        <v>0</v>
      </c>
      <c r="AM203" s="105">
        <v>8</v>
      </c>
      <c r="AN203" s="105">
        <v>0</v>
      </c>
    </row>
    <row r="204" spans="6:40" ht="20.25" hidden="1" x14ac:dyDescent="0.2">
      <c r="O204" s="1066"/>
      <c r="P204" s="1066"/>
      <c r="AC204" s="105">
        <v>9</v>
      </c>
      <c r="AD204" s="105">
        <v>0</v>
      </c>
      <c r="AE204" s="105">
        <v>9</v>
      </c>
      <c r="AF204" s="105">
        <v>0</v>
      </c>
      <c r="AG204" s="105">
        <v>9</v>
      </c>
      <c r="AH204" s="105">
        <v>0</v>
      </c>
      <c r="AI204" s="105">
        <v>9</v>
      </c>
      <c r="AJ204" s="105">
        <v>0</v>
      </c>
      <c r="AK204" s="105">
        <v>9</v>
      </c>
      <c r="AL204" s="105">
        <v>0</v>
      </c>
      <c r="AM204" s="105">
        <v>9</v>
      </c>
      <c r="AN204" s="105">
        <v>0</v>
      </c>
    </row>
    <row r="205" spans="6:40" ht="20.25" hidden="1" x14ac:dyDescent="0.2">
      <c r="O205" s="1066"/>
      <c r="P205" s="1066"/>
      <c r="AC205" s="105">
        <v>10</v>
      </c>
      <c r="AD205" s="105">
        <v>0</v>
      </c>
      <c r="AE205" s="105">
        <v>10</v>
      </c>
      <c r="AF205" s="105">
        <v>0</v>
      </c>
      <c r="AG205" s="105">
        <v>10</v>
      </c>
      <c r="AH205" s="105">
        <v>0</v>
      </c>
      <c r="AI205" s="105">
        <v>10</v>
      </c>
      <c r="AJ205" s="105">
        <v>0</v>
      </c>
      <c r="AK205" s="105">
        <v>10</v>
      </c>
      <c r="AL205" s="105">
        <v>0</v>
      </c>
      <c r="AM205" s="105">
        <v>10</v>
      </c>
      <c r="AN205" s="105">
        <v>0</v>
      </c>
    </row>
    <row r="206" spans="6:40" ht="20.25" hidden="1" x14ac:dyDescent="0.2">
      <c r="O206" s="1066"/>
      <c r="P206" s="1066"/>
      <c r="AC206" s="105">
        <v>11</v>
      </c>
      <c r="AD206" s="105">
        <v>0</v>
      </c>
      <c r="AE206" s="105">
        <v>11</v>
      </c>
      <c r="AF206" s="105">
        <v>0</v>
      </c>
      <c r="AG206" s="105">
        <v>11</v>
      </c>
      <c r="AH206" s="105">
        <v>0</v>
      </c>
      <c r="AI206" s="105">
        <v>11</v>
      </c>
      <c r="AJ206" s="105">
        <v>0</v>
      </c>
      <c r="AK206" s="105">
        <v>11</v>
      </c>
      <c r="AL206" s="105">
        <v>0</v>
      </c>
      <c r="AM206" s="105">
        <v>11</v>
      </c>
      <c r="AN206" s="105">
        <v>0</v>
      </c>
    </row>
    <row r="207" spans="6:40" ht="20.25" hidden="1" x14ac:dyDescent="0.2">
      <c r="O207" s="1066"/>
      <c r="P207" s="1066"/>
      <c r="AC207" s="105">
        <v>12</v>
      </c>
      <c r="AD207" s="105">
        <v>0</v>
      </c>
      <c r="AE207" s="105">
        <v>12</v>
      </c>
      <c r="AF207" s="105">
        <v>0</v>
      </c>
      <c r="AG207" s="105">
        <v>12</v>
      </c>
      <c r="AH207" s="105">
        <v>0</v>
      </c>
      <c r="AI207" s="105">
        <v>12</v>
      </c>
      <c r="AJ207" s="105">
        <v>0</v>
      </c>
      <c r="AK207" s="105">
        <v>12</v>
      </c>
      <c r="AL207" s="105">
        <v>0</v>
      </c>
      <c r="AM207" s="105">
        <v>12</v>
      </c>
      <c r="AN207" s="105">
        <v>0</v>
      </c>
    </row>
    <row r="208" spans="6:40" ht="20.25" hidden="1" x14ac:dyDescent="0.2">
      <c r="O208" s="1066"/>
      <c r="P208" s="1066"/>
      <c r="AC208" s="105">
        <v>13</v>
      </c>
      <c r="AD208" s="105">
        <v>0</v>
      </c>
      <c r="AE208" s="105">
        <v>13</v>
      </c>
      <c r="AF208" s="105">
        <v>0</v>
      </c>
      <c r="AG208" s="105">
        <v>13</v>
      </c>
      <c r="AH208" s="105">
        <v>0</v>
      </c>
      <c r="AI208" s="105">
        <v>13</v>
      </c>
      <c r="AJ208" s="105">
        <v>0</v>
      </c>
      <c r="AK208" s="105">
        <v>13</v>
      </c>
      <c r="AL208" s="105">
        <v>0</v>
      </c>
      <c r="AM208" s="105">
        <v>13</v>
      </c>
      <c r="AN208" s="105">
        <v>0</v>
      </c>
    </row>
    <row r="209" spans="29:40" hidden="1" x14ac:dyDescent="0.2">
      <c r="AC209" s="105">
        <v>14</v>
      </c>
      <c r="AD209" s="105">
        <v>0</v>
      </c>
      <c r="AE209" s="105">
        <v>14</v>
      </c>
      <c r="AF209" s="105">
        <v>0</v>
      </c>
      <c r="AG209" s="105">
        <v>14</v>
      </c>
      <c r="AH209" s="105">
        <v>0</v>
      </c>
      <c r="AI209" s="105">
        <v>14</v>
      </c>
      <c r="AJ209" s="105">
        <v>0</v>
      </c>
      <c r="AK209" s="105">
        <v>14</v>
      </c>
      <c r="AL209" s="105">
        <v>0</v>
      </c>
      <c r="AM209" s="105">
        <v>14</v>
      </c>
      <c r="AN209" s="105">
        <v>0</v>
      </c>
    </row>
    <row r="210" spans="29:40" hidden="1" x14ac:dyDescent="0.2">
      <c r="AC210" s="105">
        <v>15</v>
      </c>
      <c r="AD210" s="105">
        <v>0</v>
      </c>
      <c r="AE210" s="105">
        <v>15</v>
      </c>
      <c r="AF210" s="105">
        <v>0</v>
      </c>
      <c r="AG210" s="105">
        <v>15</v>
      </c>
      <c r="AH210" s="105">
        <v>0</v>
      </c>
      <c r="AI210" s="105">
        <v>15</v>
      </c>
      <c r="AJ210" s="105">
        <v>0</v>
      </c>
      <c r="AK210" s="105">
        <v>15</v>
      </c>
      <c r="AL210" s="105">
        <v>0</v>
      </c>
      <c r="AM210" s="105">
        <v>15</v>
      </c>
      <c r="AN210" s="105">
        <v>0</v>
      </c>
    </row>
    <row r="211" spans="29:40" hidden="1" x14ac:dyDescent="0.2">
      <c r="AC211" s="105">
        <v>16</v>
      </c>
      <c r="AD211" s="105">
        <v>0</v>
      </c>
      <c r="AE211" s="105">
        <v>16</v>
      </c>
      <c r="AF211" s="105">
        <v>0</v>
      </c>
      <c r="AG211" s="105">
        <v>16</v>
      </c>
      <c r="AH211" s="105">
        <v>0</v>
      </c>
      <c r="AI211" s="105">
        <v>16</v>
      </c>
      <c r="AJ211" s="105">
        <v>0</v>
      </c>
      <c r="AK211" s="105">
        <v>16</v>
      </c>
      <c r="AL211" s="105">
        <v>0</v>
      </c>
      <c r="AM211" s="105">
        <v>16</v>
      </c>
      <c r="AN211" s="105">
        <v>0</v>
      </c>
    </row>
    <row r="212" spans="29:40" hidden="1" x14ac:dyDescent="0.2">
      <c r="AC212" s="105">
        <v>17</v>
      </c>
      <c r="AD212" s="105">
        <v>0</v>
      </c>
      <c r="AE212" s="105">
        <v>17</v>
      </c>
      <c r="AF212" s="105">
        <v>0</v>
      </c>
      <c r="AG212" s="105">
        <v>17</v>
      </c>
      <c r="AH212" s="105">
        <v>0</v>
      </c>
      <c r="AI212" s="105">
        <v>17</v>
      </c>
      <c r="AJ212" s="105">
        <v>0</v>
      </c>
      <c r="AK212" s="105">
        <v>17</v>
      </c>
      <c r="AL212" s="105">
        <v>0</v>
      </c>
      <c r="AM212" s="105">
        <v>17</v>
      </c>
      <c r="AN212" s="105">
        <v>0</v>
      </c>
    </row>
    <row r="213" spans="29:40" hidden="1" x14ac:dyDescent="0.2">
      <c r="AC213" s="105">
        <v>18</v>
      </c>
      <c r="AD213" s="105">
        <v>0</v>
      </c>
      <c r="AE213" s="105">
        <v>18</v>
      </c>
      <c r="AF213" s="105">
        <v>0</v>
      </c>
      <c r="AG213" s="105">
        <v>18</v>
      </c>
      <c r="AH213" s="105">
        <v>0</v>
      </c>
      <c r="AI213" s="105">
        <v>18</v>
      </c>
      <c r="AJ213" s="105">
        <v>0</v>
      </c>
      <c r="AK213" s="105">
        <v>18</v>
      </c>
      <c r="AL213" s="105">
        <v>0</v>
      </c>
      <c r="AM213" s="105">
        <v>18</v>
      </c>
      <c r="AN213" s="105">
        <v>0</v>
      </c>
    </row>
    <row r="214" spans="29:40" hidden="1" x14ac:dyDescent="0.2">
      <c r="AC214" s="105">
        <v>19</v>
      </c>
      <c r="AD214" s="105">
        <v>0</v>
      </c>
      <c r="AE214" s="105">
        <v>19</v>
      </c>
      <c r="AF214" s="105">
        <v>0</v>
      </c>
      <c r="AG214" s="105">
        <v>19</v>
      </c>
      <c r="AH214" s="105">
        <v>0</v>
      </c>
      <c r="AI214" s="105">
        <v>19</v>
      </c>
      <c r="AJ214" s="105">
        <v>0</v>
      </c>
      <c r="AK214" s="105">
        <v>19</v>
      </c>
      <c r="AL214" s="105">
        <v>0</v>
      </c>
      <c r="AM214" s="105">
        <v>19</v>
      </c>
      <c r="AN214" s="105">
        <v>0</v>
      </c>
    </row>
    <row r="215" spans="29:40" hidden="1" x14ac:dyDescent="0.2">
      <c r="AC215" s="105">
        <v>20</v>
      </c>
      <c r="AD215" s="105">
        <v>0</v>
      </c>
      <c r="AE215" s="105">
        <v>20</v>
      </c>
      <c r="AF215" s="105">
        <v>0</v>
      </c>
      <c r="AG215" s="105">
        <v>20</v>
      </c>
      <c r="AH215" s="105">
        <v>0</v>
      </c>
      <c r="AI215" s="105">
        <v>20</v>
      </c>
      <c r="AJ215" s="105">
        <v>0</v>
      </c>
      <c r="AK215" s="105">
        <v>20</v>
      </c>
      <c r="AL215" s="105">
        <v>0</v>
      </c>
      <c r="AM215" s="105">
        <v>20</v>
      </c>
      <c r="AN215" s="105">
        <v>0</v>
      </c>
    </row>
    <row r="216" spans="29:40" hidden="1" x14ac:dyDescent="0.2">
      <c r="AC216" s="105">
        <v>21</v>
      </c>
      <c r="AD216" s="105">
        <v>0</v>
      </c>
      <c r="AE216" s="105">
        <v>21</v>
      </c>
      <c r="AF216" s="105">
        <v>0</v>
      </c>
      <c r="AG216" s="105">
        <v>21</v>
      </c>
      <c r="AH216" s="105">
        <v>0</v>
      </c>
      <c r="AI216" s="105">
        <v>21</v>
      </c>
      <c r="AJ216" s="105">
        <v>0</v>
      </c>
      <c r="AK216" s="105">
        <v>21</v>
      </c>
      <c r="AL216" s="105">
        <v>0</v>
      </c>
      <c r="AM216" s="105">
        <v>21</v>
      </c>
      <c r="AN216" s="105">
        <v>0</v>
      </c>
    </row>
    <row r="217" spans="29:40" hidden="1" x14ac:dyDescent="0.2">
      <c r="AC217" s="105">
        <v>22</v>
      </c>
      <c r="AD217" s="105">
        <v>0</v>
      </c>
      <c r="AE217" s="105">
        <v>22</v>
      </c>
      <c r="AF217" s="105">
        <v>0</v>
      </c>
      <c r="AG217" s="105">
        <v>22</v>
      </c>
      <c r="AH217" s="105">
        <v>0</v>
      </c>
      <c r="AI217" s="105">
        <v>22</v>
      </c>
      <c r="AJ217" s="105">
        <v>0</v>
      </c>
      <c r="AK217" s="105">
        <v>22</v>
      </c>
      <c r="AL217" s="105">
        <v>0</v>
      </c>
      <c r="AM217" s="105">
        <v>22</v>
      </c>
      <c r="AN217" s="105">
        <v>0</v>
      </c>
    </row>
    <row r="218" spans="29:40" hidden="1" x14ac:dyDescent="0.2">
      <c r="AC218" s="105">
        <v>23</v>
      </c>
      <c r="AD218" s="105">
        <v>0</v>
      </c>
      <c r="AE218" s="105">
        <v>23</v>
      </c>
      <c r="AF218" s="105">
        <v>0</v>
      </c>
      <c r="AG218" s="105">
        <v>23</v>
      </c>
      <c r="AH218" s="105">
        <v>0</v>
      </c>
      <c r="AI218" s="105">
        <v>23</v>
      </c>
      <c r="AJ218" s="105">
        <v>0</v>
      </c>
      <c r="AK218" s="105">
        <v>23</v>
      </c>
      <c r="AL218" s="105">
        <v>0</v>
      </c>
      <c r="AM218" s="105">
        <v>23</v>
      </c>
      <c r="AN218" s="105">
        <v>0</v>
      </c>
    </row>
    <row r="219" spans="29:40" hidden="1" x14ac:dyDescent="0.2">
      <c r="AC219" s="105">
        <v>24</v>
      </c>
      <c r="AD219" s="105">
        <v>0</v>
      </c>
      <c r="AE219" s="105">
        <v>24</v>
      </c>
      <c r="AF219" s="105">
        <v>0</v>
      </c>
      <c r="AG219" s="105">
        <v>24</v>
      </c>
      <c r="AH219" s="105">
        <v>0</v>
      </c>
      <c r="AI219" s="105">
        <v>24</v>
      </c>
      <c r="AJ219" s="105">
        <v>0</v>
      </c>
      <c r="AK219" s="105">
        <v>24</v>
      </c>
      <c r="AL219" s="105">
        <v>0</v>
      </c>
      <c r="AM219" s="105">
        <v>24</v>
      </c>
      <c r="AN219" s="105">
        <v>0</v>
      </c>
    </row>
    <row r="220" spans="29:40" hidden="1" x14ac:dyDescent="0.2">
      <c r="AC220" s="105">
        <v>25</v>
      </c>
      <c r="AD220" s="105">
        <v>0</v>
      </c>
      <c r="AE220" s="105">
        <v>25</v>
      </c>
      <c r="AF220" s="105">
        <v>0</v>
      </c>
      <c r="AG220" s="105">
        <v>25</v>
      </c>
      <c r="AH220" s="105">
        <v>0</v>
      </c>
      <c r="AI220" s="105">
        <v>25</v>
      </c>
      <c r="AJ220" s="105">
        <v>0</v>
      </c>
      <c r="AK220" s="105">
        <v>25</v>
      </c>
      <c r="AL220" s="105">
        <v>0</v>
      </c>
      <c r="AM220" s="105">
        <v>25</v>
      </c>
      <c r="AN220" s="105">
        <v>0</v>
      </c>
    </row>
    <row r="221" spans="29:40" hidden="1" x14ac:dyDescent="0.2">
      <c r="AC221" s="105">
        <v>26</v>
      </c>
      <c r="AD221" s="105">
        <v>0</v>
      </c>
      <c r="AE221" s="105">
        <v>26</v>
      </c>
      <c r="AF221" s="105">
        <v>0</v>
      </c>
      <c r="AG221" s="105">
        <v>26</v>
      </c>
      <c r="AH221" s="105">
        <v>0</v>
      </c>
      <c r="AI221" s="105">
        <v>26</v>
      </c>
      <c r="AJ221" s="105">
        <v>0</v>
      </c>
      <c r="AK221" s="105">
        <v>26</v>
      </c>
      <c r="AL221" s="105">
        <v>0</v>
      </c>
      <c r="AM221" s="105">
        <v>26</v>
      </c>
      <c r="AN221" s="105">
        <v>0</v>
      </c>
    </row>
    <row r="222" spans="29:40" hidden="1" x14ac:dyDescent="0.2">
      <c r="AC222" s="105">
        <v>27</v>
      </c>
      <c r="AD222" s="105">
        <v>0</v>
      </c>
      <c r="AE222" s="105">
        <v>27</v>
      </c>
      <c r="AF222" s="105">
        <v>0</v>
      </c>
      <c r="AG222" s="105">
        <v>27</v>
      </c>
      <c r="AH222" s="105">
        <v>0</v>
      </c>
      <c r="AI222" s="105">
        <v>27</v>
      </c>
      <c r="AJ222" s="105">
        <v>0</v>
      </c>
      <c r="AK222" s="105">
        <v>27</v>
      </c>
      <c r="AL222" s="105">
        <v>0</v>
      </c>
      <c r="AM222" s="105">
        <v>27</v>
      </c>
      <c r="AN222" s="105">
        <v>0</v>
      </c>
    </row>
    <row r="223" spans="29:40" hidden="1" x14ac:dyDescent="0.2">
      <c r="AC223" s="105">
        <v>28</v>
      </c>
      <c r="AD223" s="105">
        <v>0</v>
      </c>
      <c r="AE223" s="105">
        <v>28</v>
      </c>
      <c r="AF223" s="105">
        <v>0</v>
      </c>
      <c r="AG223" s="105">
        <v>28</v>
      </c>
      <c r="AH223" s="105">
        <v>0</v>
      </c>
      <c r="AI223" s="105">
        <v>28</v>
      </c>
      <c r="AJ223" s="105">
        <v>0</v>
      </c>
      <c r="AK223" s="105">
        <v>28</v>
      </c>
      <c r="AL223" s="105">
        <v>0</v>
      </c>
      <c r="AM223" s="105">
        <v>28</v>
      </c>
      <c r="AN223" s="105">
        <v>0</v>
      </c>
    </row>
    <row r="224" spans="29:40" hidden="1" x14ac:dyDescent="0.2">
      <c r="AC224" s="105">
        <v>29</v>
      </c>
      <c r="AD224" s="105">
        <v>0</v>
      </c>
      <c r="AE224" s="105">
        <v>29</v>
      </c>
      <c r="AF224" s="105">
        <v>0</v>
      </c>
      <c r="AG224" s="105">
        <v>29</v>
      </c>
      <c r="AH224" s="105">
        <v>0</v>
      </c>
      <c r="AI224" s="105">
        <v>29</v>
      </c>
      <c r="AJ224" s="105">
        <v>0</v>
      </c>
      <c r="AK224" s="105">
        <v>29</v>
      </c>
      <c r="AL224" s="105">
        <v>0</v>
      </c>
      <c r="AM224" s="105">
        <v>29</v>
      </c>
      <c r="AN224" s="105">
        <v>0</v>
      </c>
    </row>
    <row r="225" spans="29:40" hidden="1" x14ac:dyDescent="0.2">
      <c r="AC225" s="105">
        <v>30</v>
      </c>
      <c r="AD225" s="105">
        <v>0</v>
      </c>
      <c r="AE225" s="105">
        <v>30</v>
      </c>
      <c r="AF225" s="105">
        <v>0</v>
      </c>
      <c r="AG225" s="105">
        <v>30</v>
      </c>
      <c r="AH225" s="105">
        <v>0</v>
      </c>
      <c r="AI225" s="105">
        <v>30</v>
      </c>
      <c r="AJ225" s="105">
        <v>0</v>
      </c>
      <c r="AK225" s="105">
        <v>30</v>
      </c>
      <c r="AL225" s="105">
        <v>0</v>
      </c>
      <c r="AM225" s="105">
        <v>30</v>
      </c>
      <c r="AN225" s="105">
        <v>0</v>
      </c>
    </row>
    <row r="226" spans="29:40" hidden="1" x14ac:dyDescent="0.2">
      <c r="AC226" s="105">
        <v>31</v>
      </c>
      <c r="AD226" s="105">
        <v>0</v>
      </c>
      <c r="AE226" s="105">
        <v>31</v>
      </c>
      <c r="AF226" s="105">
        <v>0</v>
      </c>
      <c r="AG226" s="105">
        <v>31</v>
      </c>
      <c r="AH226" s="105">
        <v>0</v>
      </c>
      <c r="AI226" s="105">
        <v>31</v>
      </c>
      <c r="AJ226" s="105">
        <v>0</v>
      </c>
      <c r="AK226" s="105">
        <v>31</v>
      </c>
      <c r="AL226" s="105">
        <v>0</v>
      </c>
      <c r="AM226" s="105">
        <v>31</v>
      </c>
      <c r="AN226" s="105">
        <v>0</v>
      </c>
    </row>
    <row r="227" spans="29:40" hidden="1" x14ac:dyDescent="0.2">
      <c r="AC227" s="105">
        <v>32</v>
      </c>
      <c r="AD227" s="105">
        <v>0</v>
      </c>
      <c r="AE227" s="105">
        <v>32</v>
      </c>
      <c r="AF227" s="105">
        <v>0</v>
      </c>
      <c r="AG227" s="105">
        <v>32</v>
      </c>
      <c r="AH227" s="105">
        <v>0</v>
      </c>
      <c r="AI227" s="105">
        <v>32</v>
      </c>
      <c r="AJ227" s="105">
        <v>0</v>
      </c>
      <c r="AK227" s="105">
        <v>32</v>
      </c>
      <c r="AL227" s="105">
        <v>0</v>
      </c>
      <c r="AM227" s="105">
        <v>32</v>
      </c>
      <c r="AN227" s="105">
        <v>0</v>
      </c>
    </row>
    <row r="228" spans="29:40" hidden="1" x14ac:dyDescent="0.2">
      <c r="AC228" s="105">
        <v>33</v>
      </c>
      <c r="AD228" s="105">
        <v>0</v>
      </c>
      <c r="AE228" s="105">
        <v>33</v>
      </c>
      <c r="AF228" s="105">
        <v>0</v>
      </c>
      <c r="AG228" s="105">
        <v>33</v>
      </c>
      <c r="AH228" s="105">
        <v>0</v>
      </c>
      <c r="AI228" s="105">
        <v>33</v>
      </c>
      <c r="AJ228" s="105">
        <v>0</v>
      </c>
      <c r="AK228" s="105">
        <v>33</v>
      </c>
      <c r="AL228" s="105">
        <v>0</v>
      </c>
      <c r="AM228" s="105">
        <v>33</v>
      </c>
      <c r="AN228" s="105">
        <v>0</v>
      </c>
    </row>
    <row r="229" spans="29:40" hidden="1" x14ac:dyDescent="0.2">
      <c r="AC229" s="105">
        <v>34</v>
      </c>
      <c r="AD229" s="105">
        <v>0</v>
      </c>
      <c r="AE229" s="105">
        <v>34</v>
      </c>
      <c r="AF229" s="105">
        <v>0</v>
      </c>
      <c r="AG229" s="105">
        <v>34</v>
      </c>
      <c r="AH229" s="105">
        <v>0</v>
      </c>
      <c r="AI229" s="105">
        <v>34</v>
      </c>
      <c r="AJ229" s="105">
        <v>0</v>
      </c>
      <c r="AK229" s="105">
        <v>34</v>
      </c>
      <c r="AL229" s="105">
        <v>0</v>
      </c>
      <c r="AM229" s="105">
        <v>34</v>
      </c>
      <c r="AN229" s="105">
        <v>0</v>
      </c>
    </row>
    <row r="230" spans="29:40" hidden="1" x14ac:dyDescent="0.2">
      <c r="AC230" s="105">
        <v>35</v>
      </c>
      <c r="AD230" s="105">
        <v>0</v>
      </c>
      <c r="AE230" s="105">
        <v>35</v>
      </c>
      <c r="AF230" s="105">
        <v>0</v>
      </c>
      <c r="AG230" s="105">
        <v>35</v>
      </c>
      <c r="AH230" s="105">
        <v>0</v>
      </c>
      <c r="AI230" s="105">
        <v>35</v>
      </c>
      <c r="AJ230" s="105">
        <v>0</v>
      </c>
      <c r="AK230" s="105">
        <v>35</v>
      </c>
      <c r="AL230" s="105">
        <v>0</v>
      </c>
      <c r="AM230" s="105">
        <v>35</v>
      </c>
      <c r="AN230" s="105">
        <v>0</v>
      </c>
    </row>
    <row r="231" spans="29:40" hidden="1" x14ac:dyDescent="0.2">
      <c r="AC231" s="105">
        <v>36</v>
      </c>
      <c r="AD231" s="105">
        <v>0</v>
      </c>
      <c r="AE231" s="105">
        <v>36</v>
      </c>
      <c r="AF231" s="105">
        <v>0</v>
      </c>
      <c r="AG231" s="105">
        <v>36</v>
      </c>
      <c r="AH231" s="105">
        <v>0</v>
      </c>
      <c r="AI231" s="105">
        <v>36</v>
      </c>
      <c r="AJ231" s="105">
        <v>0</v>
      </c>
      <c r="AK231" s="105">
        <v>36</v>
      </c>
      <c r="AL231" s="105">
        <v>0</v>
      </c>
      <c r="AM231" s="105">
        <v>36</v>
      </c>
      <c r="AN231" s="105">
        <v>0</v>
      </c>
    </row>
    <row r="232" spans="29:40" hidden="1" x14ac:dyDescent="0.2">
      <c r="AC232" s="105">
        <v>37</v>
      </c>
      <c r="AD232" s="105">
        <v>0</v>
      </c>
      <c r="AE232" s="105">
        <v>37</v>
      </c>
      <c r="AF232" s="105">
        <v>0</v>
      </c>
      <c r="AG232" s="105">
        <v>37</v>
      </c>
      <c r="AH232" s="105">
        <v>0</v>
      </c>
      <c r="AI232" s="105">
        <v>37</v>
      </c>
      <c r="AJ232" s="105">
        <v>0</v>
      </c>
      <c r="AK232" s="105">
        <v>37</v>
      </c>
      <c r="AL232" s="105">
        <v>0</v>
      </c>
      <c r="AM232" s="105">
        <v>37</v>
      </c>
      <c r="AN232" s="105">
        <v>0</v>
      </c>
    </row>
    <row r="233" spans="29:40" hidden="1" x14ac:dyDescent="0.2">
      <c r="AC233" s="105">
        <v>38</v>
      </c>
      <c r="AD233" s="105">
        <v>0</v>
      </c>
      <c r="AE233" s="105">
        <v>38</v>
      </c>
      <c r="AF233" s="105">
        <v>0</v>
      </c>
      <c r="AG233" s="105">
        <v>38</v>
      </c>
      <c r="AH233" s="105">
        <v>0</v>
      </c>
      <c r="AI233" s="105">
        <v>38</v>
      </c>
      <c r="AJ233" s="105">
        <v>0</v>
      </c>
      <c r="AK233" s="105">
        <v>38</v>
      </c>
      <c r="AL233" s="105">
        <v>0</v>
      </c>
      <c r="AM233" s="105">
        <v>38</v>
      </c>
      <c r="AN233" s="105">
        <v>0</v>
      </c>
    </row>
    <row r="234" spans="29:40" hidden="1" x14ac:dyDescent="0.2">
      <c r="AC234" s="105">
        <v>39</v>
      </c>
      <c r="AD234" s="105">
        <v>0</v>
      </c>
      <c r="AE234" s="105">
        <v>39</v>
      </c>
      <c r="AF234" s="105">
        <v>0</v>
      </c>
      <c r="AG234" s="105">
        <v>39</v>
      </c>
      <c r="AH234" s="105">
        <v>0</v>
      </c>
      <c r="AI234" s="105">
        <v>39</v>
      </c>
      <c r="AJ234" s="105">
        <v>0</v>
      </c>
      <c r="AK234" s="105">
        <v>39</v>
      </c>
      <c r="AL234" s="105">
        <v>0</v>
      </c>
      <c r="AM234" s="105">
        <v>39</v>
      </c>
      <c r="AN234" s="105">
        <v>0</v>
      </c>
    </row>
    <row r="235" spans="29:40" hidden="1" x14ac:dyDescent="0.2">
      <c r="AC235" s="105">
        <v>40</v>
      </c>
      <c r="AD235" s="105">
        <v>0</v>
      </c>
      <c r="AE235" s="105">
        <v>40</v>
      </c>
      <c r="AF235" s="105">
        <v>0</v>
      </c>
      <c r="AG235" s="105">
        <v>40</v>
      </c>
      <c r="AH235" s="105">
        <v>0</v>
      </c>
      <c r="AI235" s="105">
        <v>40</v>
      </c>
      <c r="AJ235" s="105">
        <v>0</v>
      </c>
      <c r="AK235" s="105">
        <v>40</v>
      </c>
      <c r="AL235" s="105">
        <v>0</v>
      </c>
      <c r="AM235" s="105">
        <v>40</v>
      </c>
      <c r="AN235" s="105">
        <v>0</v>
      </c>
    </row>
    <row r="236" spans="29:40" hidden="1" x14ac:dyDescent="0.2">
      <c r="AC236" s="105">
        <v>41</v>
      </c>
      <c r="AD236" s="105">
        <v>0</v>
      </c>
      <c r="AE236" s="105">
        <v>41</v>
      </c>
      <c r="AF236" s="105">
        <v>0</v>
      </c>
      <c r="AG236" s="105">
        <v>41</v>
      </c>
      <c r="AH236" s="105">
        <v>0</v>
      </c>
      <c r="AI236" s="105">
        <v>41</v>
      </c>
      <c r="AJ236" s="105">
        <v>0</v>
      </c>
      <c r="AK236" s="105">
        <v>41</v>
      </c>
      <c r="AL236" s="105">
        <v>0</v>
      </c>
      <c r="AM236" s="105">
        <v>41</v>
      </c>
      <c r="AN236" s="105">
        <v>0</v>
      </c>
    </row>
    <row r="237" spans="29:40" hidden="1" x14ac:dyDescent="0.2">
      <c r="AC237" s="105">
        <v>42</v>
      </c>
      <c r="AD237" s="105">
        <v>0</v>
      </c>
      <c r="AE237" s="105">
        <v>42</v>
      </c>
      <c r="AF237" s="105">
        <v>0</v>
      </c>
      <c r="AG237" s="105">
        <v>42</v>
      </c>
      <c r="AH237" s="105">
        <v>0</v>
      </c>
      <c r="AI237" s="105">
        <v>42</v>
      </c>
      <c r="AJ237" s="105">
        <v>0</v>
      </c>
      <c r="AK237" s="105">
        <v>42</v>
      </c>
      <c r="AL237" s="105">
        <v>0</v>
      </c>
      <c r="AM237" s="105">
        <v>42</v>
      </c>
      <c r="AN237" s="105">
        <v>0</v>
      </c>
    </row>
    <row r="238" spans="29:40" hidden="1" x14ac:dyDescent="0.2"/>
    <row r="239" spans="29:40" hidden="1" x14ac:dyDescent="0.2"/>
    <row r="240" spans="29: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spans="250:253" hidden="1" x14ac:dyDescent="0.2"/>
    <row r="674" spans="250:253" hidden="1" x14ac:dyDescent="0.2"/>
    <row r="675" spans="250:253" hidden="1" x14ac:dyDescent="0.2"/>
    <row r="676" spans="250:253" s="288" customFormat="1" hidden="1" x14ac:dyDescent="0.2">
      <c r="IP676" s="289"/>
      <c r="IS676" s="546"/>
    </row>
    <row r="677" spans="250:253" s="288" customFormat="1" hidden="1" x14ac:dyDescent="0.2">
      <c r="IP677" s="289"/>
      <c r="IS677" s="546"/>
    </row>
    <row r="678" spans="250:253" s="288" customFormat="1" hidden="1" x14ac:dyDescent="0.2">
      <c r="IP678" s="289"/>
      <c r="IS678" s="546"/>
    </row>
    <row r="679" spans="250:253" s="288" customFormat="1" hidden="1" x14ac:dyDescent="0.2">
      <c r="IP679" s="289"/>
      <c r="IS679" s="546"/>
    </row>
    <row r="680" spans="250:253" s="288" customFormat="1" hidden="1" x14ac:dyDescent="0.2">
      <c r="IP680" s="289"/>
      <c r="IS680" s="546"/>
    </row>
    <row r="681" spans="250:253" s="288" customFormat="1" hidden="1" x14ac:dyDescent="0.2">
      <c r="IP681" s="289"/>
      <c r="IS681" s="546"/>
    </row>
    <row r="682" spans="250:253" s="288" customFormat="1" hidden="1" x14ac:dyDescent="0.2">
      <c r="IP682" s="289"/>
      <c r="IS682" s="546"/>
    </row>
    <row r="683" spans="250:253" s="288" customFormat="1" hidden="1" x14ac:dyDescent="0.2">
      <c r="IP683" s="289"/>
      <c r="IS683" s="546"/>
    </row>
    <row r="684" spans="250:253" s="288" customFormat="1" hidden="1" x14ac:dyDescent="0.2">
      <c r="IP684" s="289"/>
      <c r="IS684" s="546"/>
    </row>
    <row r="685" spans="250:253" s="288" customFormat="1" hidden="1" x14ac:dyDescent="0.2">
      <c r="IP685" s="289"/>
      <c r="IS685" s="546"/>
    </row>
    <row r="686" spans="250:253" s="288" customFormat="1" hidden="1" x14ac:dyDescent="0.2">
      <c r="IP686" s="289"/>
      <c r="IS686" s="546"/>
    </row>
    <row r="687" spans="250:253" s="288" customFormat="1" hidden="1" x14ac:dyDescent="0.2">
      <c r="IP687" s="289"/>
      <c r="IS687" s="546"/>
    </row>
    <row r="688" spans="250:253" s="288" customFormat="1" hidden="1" x14ac:dyDescent="0.2">
      <c r="IP688" s="289"/>
      <c r="IS688" s="546"/>
    </row>
    <row r="689" spans="250:253" s="288" customFormat="1" hidden="1" x14ac:dyDescent="0.2">
      <c r="IP689" s="289"/>
      <c r="IS689" s="546"/>
    </row>
    <row r="690" spans="250:253" s="288" customFormat="1" hidden="1" x14ac:dyDescent="0.2">
      <c r="IP690" s="289"/>
      <c r="IS690" s="546"/>
    </row>
    <row r="691" spans="250:253" s="288" customFormat="1" hidden="1" x14ac:dyDescent="0.2">
      <c r="IP691" s="289"/>
      <c r="IS691" s="546"/>
    </row>
    <row r="692" spans="250:253" s="288" customFormat="1" hidden="1" x14ac:dyDescent="0.2">
      <c r="IP692" s="289"/>
      <c r="IS692" s="546"/>
    </row>
    <row r="693" spans="250:253" s="288" customFormat="1" hidden="1" x14ac:dyDescent="0.2">
      <c r="IP693" s="289"/>
      <c r="IS693" s="546"/>
    </row>
    <row r="694" spans="250:253" s="288" customFormat="1" hidden="1" x14ac:dyDescent="0.2">
      <c r="IP694" s="289"/>
      <c r="IS694" s="546"/>
    </row>
    <row r="695" spans="250:253" s="288" customFormat="1" hidden="1" x14ac:dyDescent="0.2">
      <c r="IP695" s="289"/>
      <c r="IS695" s="546"/>
    </row>
    <row r="696" spans="250:253" s="288" customFormat="1" hidden="1" x14ac:dyDescent="0.2">
      <c r="IP696" s="289"/>
      <c r="IS696" s="546"/>
    </row>
    <row r="697" spans="250:253" s="288" customFormat="1" hidden="1" x14ac:dyDescent="0.2">
      <c r="IP697" s="289"/>
      <c r="IS697" s="546"/>
    </row>
    <row r="698" spans="250:253" s="288" customFormat="1" hidden="1" x14ac:dyDescent="0.2">
      <c r="IP698" s="289"/>
      <c r="IS698" s="546"/>
    </row>
    <row r="699" spans="250:253" s="288" customFormat="1" hidden="1" x14ac:dyDescent="0.2">
      <c r="IP699" s="289"/>
      <c r="IS699" s="546"/>
    </row>
    <row r="700" spans="250:253" s="288" customFormat="1" hidden="1" x14ac:dyDescent="0.2">
      <c r="IP700" s="289"/>
      <c r="IS700" s="546"/>
    </row>
    <row r="701" spans="250:253" s="288" customFormat="1" hidden="1" x14ac:dyDescent="0.2">
      <c r="IP701" s="289"/>
      <c r="IS701" s="546"/>
    </row>
    <row r="702" spans="250:253" s="288" customFormat="1" hidden="1" x14ac:dyDescent="0.2">
      <c r="IP702" s="289"/>
      <c r="IS702" s="546"/>
    </row>
    <row r="703" spans="250:253" s="288" customFormat="1" hidden="1" x14ac:dyDescent="0.2">
      <c r="IP703" s="289"/>
      <c r="IS703" s="546"/>
    </row>
    <row r="704" spans="250:253" s="288" customFormat="1" hidden="1" x14ac:dyDescent="0.2">
      <c r="IP704" s="289"/>
      <c r="IS704" s="546"/>
    </row>
    <row r="705" spans="250:253" s="288" customFormat="1" hidden="1" x14ac:dyDescent="0.2">
      <c r="IP705" s="289"/>
      <c r="IS705" s="546"/>
    </row>
    <row r="706" spans="250:253" s="288" customFormat="1" hidden="1" x14ac:dyDescent="0.2">
      <c r="IP706" s="289"/>
      <c r="IS706" s="546"/>
    </row>
    <row r="707" spans="250:253" s="288" customFormat="1" hidden="1" x14ac:dyDescent="0.2">
      <c r="IP707" s="289"/>
      <c r="IS707" s="546"/>
    </row>
    <row r="708" spans="250:253" s="288" customFormat="1" hidden="1" x14ac:dyDescent="0.2">
      <c r="IP708" s="289"/>
      <c r="IS708" s="546"/>
    </row>
    <row r="709" spans="250:253" s="288" customFormat="1" hidden="1" x14ac:dyDescent="0.2">
      <c r="IP709" s="289"/>
      <c r="IS709" s="546"/>
    </row>
    <row r="710" spans="250:253" s="288" customFormat="1" hidden="1" x14ac:dyDescent="0.2">
      <c r="IP710" s="289"/>
      <c r="IS710" s="546"/>
    </row>
    <row r="711" spans="250:253" s="288" customFormat="1" hidden="1" x14ac:dyDescent="0.2">
      <c r="IP711" s="289"/>
      <c r="IS711" s="546"/>
    </row>
    <row r="712" spans="250:253" s="288" customFormat="1" hidden="1" x14ac:dyDescent="0.2">
      <c r="IP712" s="289"/>
      <c r="IS712" s="546"/>
    </row>
    <row r="713" spans="250:253" s="288" customFormat="1" hidden="1" x14ac:dyDescent="0.2">
      <c r="IP713" s="289"/>
      <c r="IS713" s="546"/>
    </row>
    <row r="714" spans="250:253" s="288" customFormat="1" hidden="1" x14ac:dyDescent="0.2">
      <c r="IP714" s="289"/>
      <c r="IS714" s="546"/>
    </row>
    <row r="715" spans="250:253" s="288" customFormat="1" hidden="1" x14ac:dyDescent="0.2">
      <c r="IP715" s="289"/>
      <c r="IS715" s="546"/>
    </row>
    <row r="716" spans="250:253" s="288" customFormat="1" hidden="1" x14ac:dyDescent="0.2">
      <c r="IP716" s="289"/>
      <c r="IS716" s="546"/>
    </row>
    <row r="717" spans="250:253" s="288" customFormat="1" hidden="1" x14ac:dyDescent="0.2">
      <c r="IP717" s="289"/>
      <c r="IS717" s="546"/>
    </row>
    <row r="718" spans="250:253" s="288" customFormat="1" hidden="1" x14ac:dyDescent="0.2">
      <c r="IP718" s="289"/>
      <c r="IS718" s="546"/>
    </row>
    <row r="719" spans="250:253" s="288" customFormat="1" hidden="1" x14ac:dyDescent="0.2">
      <c r="IP719" s="289"/>
      <c r="IS719" s="546"/>
    </row>
    <row r="720" spans="250:253" s="288" customFormat="1" hidden="1" x14ac:dyDescent="0.2">
      <c r="IP720" s="289"/>
      <c r="IS720" s="546"/>
    </row>
    <row r="721" spans="250:253" s="288" customFormat="1" hidden="1" x14ac:dyDescent="0.2">
      <c r="IP721" s="289"/>
      <c r="IS721" s="546"/>
    </row>
    <row r="722" spans="250:253" s="288" customFormat="1" hidden="1" x14ac:dyDescent="0.2">
      <c r="IP722" s="289"/>
      <c r="IS722" s="546"/>
    </row>
    <row r="723" spans="250:253" s="288" customFormat="1" hidden="1" x14ac:dyDescent="0.2">
      <c r="IP723" s="289"/>
      <c r="IS723" s="546"/>
    </row>
    <row r="724" spans="250:253" s="288" customFormat="1" hidden="1" x14ac:dyDescent="0.2">
      <c r="IP724" s="289"/>
      <c r="IS724" s="546"/>
    </row>
    <row r="725" spans="250:253" s="288" customFormat="1" hidden="1" x14ac:dyDescent="0.2">
      <c r="IP725" s="289"/>
      <c r="IS725" s="546"/>
    </row>
    <row r="726" spans="250:253" s="288" customFormat="1" hidden="1" x14ac:dyDescent="0.2">
      <c r="IP726" s="289"/>
      <c r="IS726" s="546"/>
    </row>
    <row r="727" spans="250:253" s="288" customFormat="1" hidden="1" x14ac:dyDescent="0.2">
      <c r="IP727" s="289"/>
      <c r="IS727" s="546"/>
    </row>
    <row r="728" spans="250:253" s="288" customFormat="1" hidden="1" x14ac:dyDescent="0.2">
      <c r="IP728" s="289"/>
      <c r="IS728" s="546"/>
    </row>
    <row r="729" spans="250:253" s="288" customFormat="1" hidden="1" x14ac:dyDescent="0.2">
      <c r="IP729" s="289"/>
      <c r="IS729" s="546"/>
    </row>
    <row r="730" spans="250:253" s="288" customFormat="1" hidden="1" x14ac:dyDescent="0.2">
      <c r="IP730" s="289"/>
      <c r="IS730" s="546"/>
    </row>
    <row r="731" spans="250:253" s="288" customFormat="1" hidden="1" x14ac:dyDescent="0.2">
      <c r="IP731" s="289"/>
      <c r="IS731" s="546"/>
    </row>
    <row r="732" spans="250:253" s="288" customFormat="1" hidden="1" x14ac:dyDescent="0.2">
      <c r="IP732" s="289"/>
      <c r="IS732" s="546"/>
    </row>
    <row r="733" spans="250:253" s="288" customFormat="1" hidden="1" x14ac:dyDescent="0.2">
      <c r="IP733" s="289"/>
      <c r="IS733" s="546"/>
    </row>
    <row r="734" spans="250:253" s="288" customFormat="1" hidden="1" x14ac:dyDescent="0.2">
      <c r="IP734" s="289"/>
      <c r="IS734" s="546"/>
    </row>
    <row r="735" spans="250:253" s="288" customFormat="1" hidden="1" x14ac:dyDescent="0.2">
      <c r="IP735" s="289"/>
      <c r="IS735" s="546"/>
    </row>
    <row r="736" spans="250:253" s="288" customFormat="1" hidden="1" x14ac:dyDescent="0.2">
      <c r="IP736" s="289"/>
      <c r="IS736" s="546"/>
    </row>
    <row r="737" spans="250:253" s="288" customFormat="1" hidden="1" x14ac:dyDescent="0.2">
      <c r="IP737" s="289"/>
      <c r="IS737" s="546"/>
    </row>
    <row r="738" spans="250:253" s="288" customFormat="1" hidden="1" x14ac:dyDescent="0.2">
      <c r="IP738" s="289"/>
      <c r="IS738" s="546"/>
    </row>
    <row r="739" spans="250:253" s="288" customFormat="1" hidden="1" x14ac:dyDescent="0.2">
      <c r="IP739" s="289"/>
      <c r="IS739" s="546"/>
    </row>
    <row r="740" spans="250:253" s="288" customFormat="1" hidden="1" x14ac:dyDescent="0.2">
      <c r="IP740" s="289"/>
      <c r="IS740" s="546"/>
    </row>
    <row r="741" spans="250:253" s="288" customFormat="1" hidden="1" x14ac:dyDescent="0.2">
      <c r="IP741" s="289"/>
      <c r="IS741" s="546"/>
    </row>
    <row r="742" spans="250:253" s="288" customFormat="1" hidden="1" x14ac:dyDescent="0.2">
      <c r="IP742" s="289"/>
      <c r="IS742" s="546"/>
    </row>
    <row r="743" spans="250:253" s="288" customFormat="1" hidden="1" x14ac:dyDescent="0.2">
      <c r="IP743" s="289"/>
      <c r="IS743" s="546"/>
    </row>
    <row r="744" spans="250:253" s="288" customFormat="1" hidden="1" x14ac:dyDescent="0.2">
      <c r="IP744" s="289"/>
      <c r="IS744" s="546"/>
    </row>
    <row r="745" spans="250:253" s="288" customFormat="1" hidden="1" x14ac:dyDescent="0.2">
      <c r="IP745" s="289"/>
      <c r="IS745" s="546"/>
    </row>
    <row r="746" spans="250:253" s="288" customFormat="1" hidden="1" x14ac:dyDescent="0.2">
      <c r="IP746" s="289"/>
      <c r="IS746" s="546"/>
    </row>
    <row r="747" spans="250:253" s="288" customFormat="1" hidden="1" x14ac:dyDescent="0.2">
      <c r="IP747" s="289"/>
      <c r="IS747" s="546"/>
    </row>
    <row r="748" spans="250:253" s="288" customFormat="1" hidden="1" x14ac:dyDescent="0.2">
      <c r="IP748" s="289"/>
      <c r="IS748" s="546"/>
    </row>
    <row r="749" spans="250:253" s="288" customFormat="1" hidden="1" x14ac:dyDescent="0.2">
      <c r="IP749" s="289"/>
      <c r="IS749" s="546"/>
    </row>
    <row r="750" spans="250:253" s="288" customFormat="1" hidden="1" x14ac:dyDescent="0.2">
      <c r="IP750" s="289"/>
      <c r="IS750" s="546"/>
    </row>
    <row r="751" spans="250:253" s="288" customFormat="1" hidden="1" x14ac:dyDescent="0.2">
      <c r="IP751" s="289"/>
      <c r="IS751" s="546"/>
    </row>
    <row r="752" spans="250:253" s="288" customFormat="1" hidden="1" x14ac:dyDescent="0.2">
      <c r="IP752" s="289"/>
      <c r="IS752" s="546"/>
    </row>
    <row r="753" spans="250:253" s="288" customFormat="1" hidden="1" x14ac:dyDescent="0.2">
      <c r="IP753" s="289"/>
      <c r="IS753" s="546"/>
    </row>
    <row r="754" spans="250:253" s="288" customFormat="1" hidden="1" x14ac:dyDescent="0.2">
      <c r="IP754" s="289"/>
      <c r="IS754" s="546"/>
    </row>
    <row r="755" spans="250:253" s="288" customFormat="1" hidden="1" x14ac:dyDescent="0.2">
      <c r="IP755" s="289"/>
      <c r="IS755" s="546"/>
    </row>
    <row r="756" spans="250:253" s="288" customFormat="1" hidden="1" x14ac:dyDescent="0.2">
      <c r="IP756" s="289"/>
      <c r="IS756" s="546"/>
    </row>
    <row r="757" spans="250:253" s="288" customFormat="1" hidden="1" x14ac:dyDescent="0.2">
      <c r="IP757" s="289"/>
      <c r="IS757" s="546"/>
    </row>
    <row r="758" spans="250:253" s="288" customFormat="1" hidden="1" x14ac:dyDescent="0.2">
      <c r="IP758" s="289"/>
      <c r="IS758" s="546"/>
    </row>
    <row r="759" spans="250:253" s="288" customFormat="1" hidden="1" x14ac:dyDescent="0.2">
      <c r="IP759" s="289"/>
      <c r="IS759" s="546"/>
    </row>
    <row r="760" spans="250:253" s="288" customFormat="1" hidden="1" x14ac:dyDescent="0.2">
      <c r="IP760" s="289"/>
      <c r="IS760" s="546"/>
    </row>
    <row r="761" spans="250:253" s="288" customFormat="1" hidden="1" x14ac:dyDescent="0.2">
      <c r="IP761" s="289"/>
      <c r="IS761" s="546"/>
    </row>
    <row r="762" spans="250:253" s="288" customFormat="1" hidden="1" x14ac:dyDescent="0.2">
      <c r="IP762" s="289"/>
      <c r="IS762" s="546"/>
    </row>
    <row r="763" spans="250:253" s="288" customFormat="1" hidden="1" x14ac:dyDescent="0.2">
      <c r="IP763" s="289"/>
      <c r="IS763" s="546"/>
    </row>
    <row r="764" spans="250:253" s="288" customFormat="1" hidden="1" x14ac:dyDescent="0.2">
      <c r="IP764" s="289"/>
      <c r="IS764" s="546"/>
    </row>
    <row r="765" spans="250:253" s="288" customFormat="1" hidden="1" x14ac:dyDescent="0.2">
      <c r="IP765" s="289"/>
      <c r="IS765" s="546"/>
    </row>
    <row r="766" spans="250:253" s="288" customFormat="1" hidden="1" x14ac:dyDescent="0.2">
      <c r="IP766" s="289"/>
      <c r="IS766" s="546"/>
    </row>
    <row r="767" spans="250:253" s="288" customFormat="1" hidden="1" x14ac:dyDescent="0.2">
      <c r="IP767" s="289"/>
      <c r="IS767" s="546"/>
    </row>
    <row r="768" spans="250:253" s="288" customFormat="1" hidden="1" x14ac:dyDescent="0.2">
      <c r="IP768" s="289"/>
      <c r="IS768" s="546"/>
    </row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</sheetData>
  <sheetProtection algorithmName="SHA-512" hashValue="efxLefzaUqZ6tNy2iK1Q1XvyxZcJI1KP/JuK71cpLBr2k5PMeg/l5H3YlguC1T2oLytHqw+Rmtx/urvJzd1lIg==" saltValue="ZRKea8dOxqwc0DfWa3ItdA==" spinCount="100000" sheet="1" objects="1" scenarios="1"/>
  <mergeCells count="562">
    <mergeCell ref="Q161:R161"/>
    <mergeCell ref="M160:N160"/>
    <mergeCell ref="Q164:R164"/>
    <mergeCell ref="M164:N164"/>
    <mergeCell ref="M168:N168"/>
    <mergeCell ref="M163:N163"/>
    <mergeCell ref="O165:P165"/>
    <mergeCell ref="J165:L165"/>
    <mergeCell ref="Q165:R165"/>
    <mergeCell ref="M167:N167"/>
    <mergeCell ref="J166:L166"/>
    <mergeCell ref="Q166:R166"/>
    <mergeCell ref="O164:P164"/>
    <mergeCell ref="O166:P166"/>
    <mergeCell ref="O167:P167"/>
    <mergeCell ref="J160:L160"/>
    <mergeCell ref="Q160:R160"/>
    <mergeCell ref="O174:P174"/>
    <mergeCell ref="M171:N171"/>
    <mergeCell ref="O171:P171"/>
    <mergeCell ref="O169:P169"/>
    <mergeCell ref="M169:N169"/>
    <mergeCell ref="M170:N170"/>
    <mergeCell ref="O170:P170"/>
    <mergeCell ref="J161:L161"/>
    <mergeCell ref="O161:P161"/>
    <mergeCell ref="O163:P163"/>
    <mergeCell ref="J162:L162"/>
    <mergeCell ref="G193:I193"/>
    <mergeCell ref="O193:P193"/>
    <mergeCell ref="J193:L193"/>
    <mergeCell ref="J191:L191"/>
    <mergeCell ref="O188:P188"/>
    <mergeCell ref="J188:L188"/>
    <mergeCell ref="G192:I192"/>
    <mergeCell ref="G195:I195"/>
    <mergeCell ref="G194:I194"/>
    <mergeCell ref="J190:L190"/>
    <mergeCell ref="G191:I191"/>
    <mergeCell ref="M192:N192"/>
    <mergeCell ref="M191:N191"/>
    <mergeCell ref="G188:I188"/>
    <mergeCell ref="G189:I189"/>
    <mergeCell ref="G190:I190"/>
    <mergeCell ref="O189:P189"/>
    <mergeCell ref="J195:L195"/>
    <mergeCell ref="M176:N176"/>
    <mergeCell ref="M180:N180"/>
    <mergeCell ref="J177:L177"/>
    <mergeCell ref="J179:L179"/>
    <mergeCell ref="M179:N179"/>
    <mergeCell ref="M188:N188"/>
    <mergeCell ref="O208:P208"/>
    <mergeCell ref="O202:P202"/>
    <mergeCell ref="O203:P203"/>
    <mergeCell ref="O204:P204"/>
    <mergeCell ref="O205:P205"/>
    <mergeCell ref="O199:P199"/>
    <mergeCell ref="O201:P201"/>
    <mergeCell ref="O200:P200"/>
    <mergeCell ref="M186:N186"/>
    <mergeCell ref="M185:N185"/>
    <mergeCell ref="M184:N184"/>
    <mergeCell ref="M183:N183"/>
    <mergeCell ref="M181:N181"/>
    <mergeCell ref="J186:L186"/>
    <mergeCell ref="M195:N195"/>
    <mergeCell ref="J192:L192"/>
    <mergeCell ref="M190:N190"/>
    <mergeCell ref="M193:N193"/>
    <mergeCell ref="G176:I176"/>
    <mergeCell ref="J182:L182"/>
    <mergeCell ref="J178:L178"/>
    <mergeCell ref="J185:L185"/>
    <mergeCell ref="G178:I178"/>
    <mergeCell ref="G179:I179"/>
    <mergeCell ref="G183:I183"/>
    <mergeCell ref="G182:I182"/>
    <mergeCell ref="G185:I185"/>
    <mergeCell ref="G181:I181"/>
    <mergeCell ref="O207:P207"/>
    <mergeCell ref="O206:P206"/>
    <mergeCell ref="O197:P197"/>
    <mergeCell ref="O184:P184"/>
    <mergeCell ref="O185:P185"/>
    <mergeCell ref="O196:P196"/>
    <mergeCell ref="O198:P198"/>
    <mergeCell ref="O187:P187"/>
    <mergeCell ref="O195:P195"/>
    <mergeCell ref="Q156:R156"/>
    <mergeCell ref="Q195:R195"/>
    <mergeCell ref="Q194:R194"/>
    <mergeCell ref="O190:P190"/>
    <mergeCell ref="Q190:R190"/>
    <mergeCell ref="E87:F87"/>
    <mergeCell ref="O153:P154"/>
    <mergeCell ref="J175:L175"/>
    <mergeCell ref="J183:L183"/>
    <mergeCell ref="J181:L181"/>
    <mergeCell ref="J176:L176"/>
    <mergeCell ref="J187:L187"/>
    <mergeCell ref="J184:L184"/>
    <mergeCell ref="Q184:R184"/>
    <mergeCell ref="Q185:R185"/>
    <mergeCell ref="Q182:R182"/>
    <mergeCell ref="Q186:R186"/>
    <mergeCell ref="Q183:R183"/>
    <mergeCell ref="J194:L194"/>
    <mergeCell ref="J189:L189"/>
    <mergeCell ref="M189:N189"/>
    <mergeCell ref="M194:N194"/>
    <mergeCell ref="M153:N154"/>
    <mergeCell ref="G158:I158"/>
    <mergeCell ref="G153:I154"/>
    <mergeCell ref="Q188:R188"/>
    <mergeCell ref="O194:P194"/>
    <mergeCell ref="O186:P186"/>
    <mergeCell ref="O191:P191"/>
    <mergeCell ref="Q179:R179"/>
    <mergeCell ref="Q151:R152"/>
    <mergeCell ref="O158:P158"/>
    <mergeCell ref="O182:P182"/>
    <mergeCell ref="O181:P181"/>
    <mergeCell ref="O192:P192"/>
    <mergeCell ref="Q191:R191"/>
    <mergeCell ref="Q193:R193"/>
    <mergeCell ref="Q192:R192"/>
    <mergeCell ref="Q189:R189"/>
    <mergeCell ref="Q187:R187"/>
    <mergeCell ref="Q158:R158"/>
    <mergeCell ref="O162:P162"/>
    <mergeCell ref="O175:P175"/>
    <mergeCell ref="Q180:R180"/>
    <mergeCell ref="Q162:R162"/>
    <mergeCell ref="Q163:R163"/>
    <mergeCell ref="G187:I187"/>
    <mergeCell ref="G186:I186"/>
    <mergeCell ref="O177:P177"/>
    <mergeCell ref="M182:N182"/>
    <mergeCell ref="M178:N178"/>
    <mergeCell ref="M177:N177"/>
    <mergeCell ref="O180:P180"/>
    <mergeCell ref="O183:P183"/>
    <mergeCell ref="G177:I177"/>
    <mergeCell ref="M187:N187"/>
    <mergeCell ref="G184:I184"/>
    <mergeCell ref="Q177:R177"/>
    <mergeCell ref="Q178:R178"/>
    <mergeCell ref="F153:F154"/>
    <mergeCell ref="G157:I157"/>
    <mergeCell ref="G156:I156"/>
    <mergeCell ref="J157:L157"/>
    <mergeCell ref="G160:I160"/>
    <mergeCell ref="O160:P160"/>
    <mergeCell ref="G169:I169"/>
    <mergeCell ref="G168:I168"/>
    <mergeCell ref="M174:N174"/>
    <mergeCell ref="M172:N172"/>
    <mergeCell ref="O172:P172"/>
    <mergeCell ref="M173:N173"/>
    <mergeCell ref="O173:P173"/>
    <mergeCell ref="J171:L171"/>
    <mergeCell ref="G165:I165"/>
    <mergeCell ref="G170:I170"/>
    <mergeCell ref="J174:L174"/>
    <mergeCell ref="J172:L172"/>
    <mergeCell ref="J173:L173"/>
    <mergeCell ref="J169:L169"/>
    <mergeCell ref="J156:L156"/>
    <mergeCell ref="G159:I159"/>
    <mergeCell ref="P89:R89"/>
    <mergeCell ref="P87:R87"/>
    <mergeCell ref="G74:J74"/>
    <mergeCell ref="M79:O79"/>
    <mergeCell ref="G83:J83"/>
    <mergeCell ref="P81:R81"/>
    <mergeCell ref="P70:R70"/>
    <mergeCell ref="P74:R74"/>
    <mergeCell ref="M50:O50"/>
    <mergeCell ref="G54:I54"/>
    <mergeCell ref="J53:L53"/>
    <mergeCell ref="M89:O89"/>
    <mergeCell ref="M81:O81"/>
    <mergeCell ref="M62:O63"/>
    <mergeCell ref="K76:L76"/>
    <mergeCell ref="G64:J64"/>
    <mergeCell ref="G52:I52"/>
    <mergeCell ref="H53:I53"/>
    <mergeCell ref="J50:L50"/>
    <mergeCell ref="G50:I50"/>
    <mergeCell ref="M56:O56"/>
    <mergeCell ref="J54:L54"/>
    <mergeCell ref="J56:L56"/>
    <mergeCell ref="J52:L52"/>
    <mergeCell ref="F100:P101"/>
    <mergeCell ref="P94:R94"/>
    <mergeCell ref="M91:O92"/>
    <mergeCell ref="G85:J85"/>
    <mergeCell ref="M83:O83"/>
    <mergeCell ref="G81:J81"/>
    <mergeCell ref="E85:F85"/>
    <mergeCell ref="P85:R85"/>
    <mergeCell ref="ID12:IE12"/>
    <mergeCell ref="HM9:HM12"/>
    <mergeCell ref="N20:Q20"/>
    <mergeCell ref="HS12:HU16"/>
    <mergeCell ref="I10:L10"/>
    <mergeCell ref="S20:U20"/>
    <mergeCell ref="S26:U26"/>
    <mergeCell ref="AD47:AE47"/>
    <mergeCell ref="P47:Q47"/>
    <mergeCell ref="S28:U28"/>
    <mergeCell ref="L28:Q28"/>
    <mergeCell ref="P26:Q26"/>
    <mergeCell ref="S37:U37"/>
    <mergeCell ref="N35:Q35"/>
    <mergeCell ref="N37:O37"/>
    <mergeCell ref="J41:L41"/>
    <mergeCell ref="E46:F46"/>
    <mergeCell ref="B37:D37"/>
    <mergeCell ref="B39:W39"/>
    <mergeCell ref="E52:F52"/>
    <mergeCell ref="E66:F66"/>
    <mergeCell ref="G66:J66"/>
    <mergeCell ref="E68:F68"/>
    <mergeCell ref="G68:J68"/>
    <mergeCell ref="K66:L66"/>
    <mergeCell ref="M68:O68"/>
    <mergeCell ref="K62:L63"/>
    <mergeCell ref="E50:F50"/>
    <mergeCell ref="E54:F54"/>
    <mergeCell ref="M48:O48"/>
    <mergeCell ref="G62:J63"/>
    <mergeCell ref="J42:L42"/>
    <mergeCell ref="J46:L46"/>
    <mergeCell ref="J44:L44"/>
    <mergeCell ref="M46:O46"/>
    <mergeCell ref="M44:O44"/>
    <mergeCell ref="E48:F48"/>
    <mergeCell ref="G48:I48"/>
    <mergeCell ref="M42:O42"/>
    <mergeCell ref="J47:L47"/>
    <mergeCell ref="B27:E27"/>
    <mergeCell ref="E41:F41"/>
    <mergeCell ref="B20:E20"/>
    <mergeCell ref="F20:I20"/>
    <mergeCell ref="G36:I37"/>
    <mergeCell ref="L30:Q30"/>
    <mergeCell ref="M41:O41"/>
    <mergeCell ref="J19:M27"/>
    <mergeCell ref="B32:F32"/>
    <mergeCell ref="B30:F30"/>
    <mergeCell ref="P41:R41"/>
    <mergeCell ref="HM8:HP8"/>
    <mergeCell ref="S10:U10"/>
    <mergeCell ref="M16:Q16"/>
    <mergeCell ref="B14:W14"/>
    <mergeCell ref="A2:B12"/>
    <mergeCell ref="I12:L12"/>
    <mergeCell ref="O10:Q10"/>
    <mergeCell ref="F10:G10"/>
    <mergeCell ref="G2:P2"/>
    <mergeCell ref="HM4:HP4"/>
    <mergeCell ref="S4:U4"/>
    <mergeCell ref="F8:G8"/>
    <mergeCell ref="G4:P4"/>
    <mergeCell ref="S6:U6"/>
    <mergeCell ref="S8:U8"/>
    <mergeCell ref="I8:L8"/>
    <mergeCell ref="F6:G6"/>
    <mergeCell ref="HO6:HP6"/>
    <mergeCell ref="N8:Q8"/>
    <mergeCell ref="F12:G12"/>
    <mergeCell ref="E16:L16"/>
    <mergeCell ref="B16:D16"/>
    <mergeCell ref="AD58:AF58"/>
    <mergeCell ref="P58:R58"/>
    <mergeCell ref="P56:R56"/>
    <mergeCell ref="AD54:AF54"/>
    <mergeCell ref="AD41:AF41"/>
    <mergeCell ref="P53:Q53"/>
    <mergeCell ref="AD42:AF42"/>
    <mergeCell ref="P42:R42"/>
    <mergeCell ref="AD44:AF44"/>
    <mergeCell ref="AD52:AF52"/>
    <mergeCell ref="P44:R44"/>
    <mergeCell ref="P46:R46"/>
    <mergeCell ref="AD56:AF56"/>
    <mergeCell ref="P52:R52"/>
    <mergeCell ref="P50:R50"/>
    <mergeCell ref="AD53:AE53"/>
    <mergeCell ref="AD46:AF46"/>
    <mergeCell ref="AD49:AE49"/>
    <mergeCell ref="P48:R48"/>
    <mergeCell ref="AD48:AF48"/>
    <mergeCell ref="P49:Q49"/>
    <mergeCell ref="AD50:AF50"/>
    <mergeCell ref="AG64:AI64"/>
    <mergeCell ref="AG63:AI63"/>
    <mergeCell ref="AG74:AI74"/>
    <mergeCell ref="AG70:AI70"/>
    <mergeCell ref="AG81:AI81"/>
    <mergeCell ref="AG68:AI68"/>
    <mergeCell ref="AG66:AI66"/>
    <mergeCell ref="AG79:AI79"/>
    <mergeCell ref="S74:U74"/>
    <mergeCell ref="S68:U68"/>
    <mergeCell ref="S66:U66"/>
    <mergeCell ref="S70:U70"/>
    <mergeCell ref="S79:U79"/>
    <mergeCell ref="AG83:AI83"/>
    <mergeCell ref="AG76:AI76"/>
    <mergeCell ref="M156:N156"/>
    <mergeCell ref="F117:I119"/>
    <mergeCell ref="F128:K130"/>
    <mergeCell ref="AH130:AK131"/>
    <mergeCell ref="AK112:AN116"/>
    <mergeCell ref="AK117:AN118"/>
    <mergeCell ref="AH127:AK129"/>
    <mergeCell ref="AG87:AI87"/>
    <mergeCell ref="AG94:AI94"/>
    <mergeCell ref="AG108:BB110"/>
    <mergeCell ref="AG85:AI85"/>
    <mergeCell ref="F131:K132"/>
    <mergeCell ref="E96:J96"/>
    <mergeCell ref="N112:R116"/>
    <mergeCell ref="S112:U116"/>
    <mergeCell ref="B103:W107"/>
    <mergeCell ref="F112:I116"/>
    <mergeCell ref="K95:L95"/>
    <mergeCell ref="P92:R92"/>
    <mergeCell ref="K91:L92"/>
    <mergeCell ref="P91:R91"/>
    <mergeCell ref="AM130:AQ131"/>
    <mergeCell ref="BJ115:BL117"/>
    <mergeCell ref="BD115:BF117"/>
    <mergeCell ref="AO112:AR116"/>
    <mergeCell ref="AO117:AR118"/>
    <mergeCell ref="BJ118:BL119"/>
    <mergeCell ref="BG115:BI117"/>
    <mergeCell ref="AX117:AZ118"/>
    <mergeCell ref="BD118:BF119"/>
    <mergeCell ref="AS112:AV116"/>
    <mergeCell ref="BG118:BI119"/>
    <mergeCell ref="AX112:AZ116"/>
    <mergeCell ref="AS117:AV118"/>
    <mergeCell ref="IU88:IW88"/>
    <mergeCell ref="HM90:HP90"/>
    <mergeCell ref="AG92:AI92"/>
    <mergeCell ref="V93:V96"/>
    <mergeCell ref="AG91:AI91"/>
    <mergeCell ref="T91:U91"/>
    <mergeCell ref="S89:U89"/>
    <mergeCell ref="S96:U96"/>
    <mergeCell ref="T94:U94"/>
    <mergeCell ref="AG89:AI89"/>
    <mergeCell ref="T93:U93"/>
    <mergeCell ref="K96:L96"/>
    <mergeCell ref="B98:D102"/>
    <mergeCell ref="J180:L180"/>
    <mergeCell ref="G180:I180"/>
    <mergeCell ref="Q181:R181"/>
    <mergeCell ref="S172:T172"/>
    <mergeCell ref="G161:I161"/>
    <mergeCell ref="C135:D136"/>
    <mergeCell ref="J117:M119"/>
    <mergeCell ref="B123:W125"/>
    <mergeCell ref="R117:R119"/>
    <mergeCell ref="C117:D119"/>
    <mergeCell ref="B135:B136"/>
    <mergeCell ref="L128:P130"/>
    <mergeCell ref="G135:J136"/>
    <mergeCell ref="C141:X143"/>
    <mergeCell ref="O156:P156"/>
    <mergeCell ref="Q157:R157"/>
    <mergeCell ref="Q159:R159"/>
    <mergeCell ref="L131:P132"/>
    <mergeCell ref="J153:L154"/>
    <mergeCell ref="M157:N157"/>
    <mergeCell ref="M159:N159"/>
    <mergeCell ref="O157:P157"/>
    <mergeCell ref="S160:T160"/>
    <mergeCell ref="S178:T178"/>
    <mergeCell ref="M162:N162"/>
    <mergeCell ref="Q168:R168"/>
    <mergeCell ref="Q176:R176"/>
    <mergeCell ref="Q172:R172"/>
    <mergeCell ref="O178:P178"/>
    <mergeCell ref="G162:I162"/>
    <mergeCell ref="G172:I172"/>
    <mergeCell ref="J170:L170"/>
    <mergeCell ref="G167:I167"/>
    <mergeCell ref="G166:I166"/>
    <mergeCell ref="J168:L168"/>
    <mergeCell ref="G164:I164"/>
    <mergeCell ref="J164:L164"/>
    <mergeCell ref="J163:L163"/>
    <mergeCell ref="J167:L167"/>
    <mergeCell ref="G163:I163"/>
    <mergeCell ref="G175:I175"/>
    <mergeCell ref="G174:I174"/>
    <mergeCell ref="G173:I173"/>
    <mergeCell ref="G171:I171"/>
    <mergeCell ref="M166:N166"/>
    <mergeCell ref="M165:N165"/>
    <mergeCell ref="O176:P176"/>
    <mergeCell ref="Q171:R171"/>
    <mergeCell ref="Q174:R174"/>
    <mergeCell ref="Q170:R170"/>
    <mergeCell ref="Q173:R173"/>
    <mergeCell ref="Q175:R175"/>
    <mergeCell ref="AH112:AI116"/>
    <mergeCell ref="AO144:AQ146"/>
    <mergeCell ref="AM127:AQ129"/>
    <mergeCell ref="S117:U119"/>
    <mergeCell ref="N117:Q119"/>
    <mergeCell ref="O159:P159"/>
    <mergeCell ref="M161:N161"/>
    <mergeCell ref="M175:N175"/>
    <mergeCell ref="AH117:AI118"/>
    <mergeCell ref="S165:T165"/>
    <mergeCell ref="S157:T157"/>
    <mergeCell ref="S168:T168"/>
    <mergeCell ref="S163:T163"/>
    <mergeCell ref="AO147:AO148"/>
    <mergeCell ref="S166:T166"/>
    <mergeCell ref="S156:T156"/>
    <mergeCell ref="S158:T158"/>
    <mergeCell ref="K135:M136"/>
    <mergeCell ref="S195:T195"/>
    <mergeCell ref="S193:T193"/>
    <mergeCell ref="S194:T194"/>
    <mergeCell ref="S189:T189"/>
    <mergeCell ref="S184:T184"/>
    <mergeCell ref="S175:T175"/>
    <mergeCell ref="AR127:AT129"/>
    <mergeCell ref="AP147:AQ148"/>
    <mergeCell ref="AR130:AT131"/>
    <mergeCell ref="S185:T185"/>
    <mergeCell ref="S176:T176"/>
    <mergeCell ref="S162:T162"/>
    <mergeCell ref="S167:T167"/>
    <mergeCell ref="S164:T164"/>
    <mergeCell ref="S192:T192"/>
    <mergeCell ref="S181:T181"/>
    <mergeCell ref="S180:T180"/>
    <mergeCell ref="S190:T190"/>
    <mergeCell ref="S179:T179"/>
    <mergeCell ref="S191:T191"/>
    <mergeCell ref="S188:T188"/>
    <mergeCell ref="S186:T186"/>
    <mergeCell ref="S187:T187"/>
    <mergeCell ref="S177:T177"/>
    <mergeCell ref="S182:T182"/>
    <mergeCell ref="Q169:R169"/>
    <mergeCell ref="O168:P168"/>
    <mergeCell ref="Q167:R167"/>
    <mergeCell ref="M64:O64"/>
    <mergeCell ref="S161:T161"/>
    <mergeCell ref="S171:T171"/>
    <mergeCell ref="S169:T169"/>
    <mergeCell ref="S170:T170"/>
    <mergeCell ref="S173:T173"/>
    <mergeCell ref="S159:T159"/>
    <mergeCell ref="S153:T154"/>
    <mergeCell ref="O179:P179"/>
    <mergeCell ref="M158:N158"/>
    <mergeCell ref="J112:M116"/>
    <mergeCell ref="J158:L158"/>
    <mergeCell ref="J159:L159"/>
    <mergeCell ref="S64:U64"/>
    <mergeCell ref="G76:J76"/>
    <mergeCell ref="K70:L70"/>
    <mergeCell ref="S174:T174"/>
    <mergeCell ref="S81:U81"/>
    <mergeCell ref="M94:O94"/>
    <mergeCell ref="M87:O87"/>
    <mergeCell ref="S183:T183"/>
    <mergeCell ref="G89:J89"/>
    <mergeCell ref="K89:L89"/>
    <mergeCell ref="K81:L81"/>
    <mergeCell ref="K83:L83"/>
    <mergeCell ref="H58:I58"/>
    <mergeCell ref="C112:D116"/>
    <mergeCell ref="B62:C96"/>
    <mergeCell ref="E74:F74"/>
    <mergeCell ref="K74:L74"/>
    <mergeCell ref="E76:F76"/>
    <mergeCell ref="G87:J87"/>
    <mergeCell ref="K64:L64"/>
    <mergeCell ref="E64:F64"/>
    <mergeCell ref="B60:W61"/>
    <mergeCell ref="B41:C59"/>
    <mergeCell ref="P77:R77"/>
    <mergeCell ref="P83:R83"/>
    <mergeCell ref="K72:L72"/>
    <mergeCell ref="M72:O72"/>
    <mergeCell ref="P72:R72"/>
    <mergeCell ref="E89:F89"/>
    <mergeCell ref="D91:D92"/>
    <mergeCell ref="B108:W110"/>
    <mergeCell ref="S1:AA1"/>
    <mergeCell ref="P62:R63"/>
    <mergeCell ref="P64:R64"/>
    <mergeCell ref="AA61:AA63"/>
    <mergeCell ref="S30:U30"/>
    <mergeCell ref="M6:Q6"/>
    <mergeCell ref="E93:J94"/>
    <mergeCell ref="E91:J91"/>
    <mergeCell ref="E83:F83"/>
    <mergeCell ref="G70:J70"/>
    <mergeCell ref="M76:O76"/>
    <mergeCell ref="E79:F79"/>
    <mergeCell ref="G79:J79"/>
    <mergeCell ref="M77:O77"/>
    <mergeCell ref="G77:J77"/>
    <mergeCell ref="E70:F70"/>
    <mergeCell ref="M85:O85"/>
    <mergeCell ref="K85:L85"/>
    <mergeCell ref="K87:L87"/>
    <mergeCell ref="E81:F81"/>
    <mergeCell ref="M70:O70"/>
    <mergeCell ref="E72:F72"/>
    <mergeCell ref="E92:J92"/>
    <mergeCell ref="K79:L79"/>
    <mergeCell ref="S32:U32"/>
    <mergeCell ref="S33:U33"/>
    <mergeCell ref="S34:U34"/>
    <mergeCell ref="S35:U35"/>
    <mergeCell ref="M74:O74"/>
    <mergeCell ref="P54:R54"/>
    <mergeCell ref="P66:R66"/>
    <mergeCell ref="C35:M35"/>
    <mergeCell ref="M49:N49"/>
    <mergeCell ref="M52:O52"/>
    <mergeCell ref="M53:N53"/>
    <mergeCell ref="G44:I44"/>
    <mergeCell ref="G42:I42"/>
    <mergeCell ref="H47:I47"/>
    <mergeCell ref="E42:F42"/>
    <mergeCell ref="E44:F44"/>
    <mergeCell ref="E56:F56"/>
    <mergeCell ref="G46:I46"/>
    <mergeCell ref="M47:N47"/>
    <mergeCell ref="G41:I41"/>
    <mergeCell ref="M66:O66"/>
    <mergeCell ref="M58:O58"/>
    <mergeCell ref="E62:F63"/>
    <mergeCell ref="K68:L68"/>
    <mergeCell ref="J48:L48"/>
    <mergeCell ref="J49:L49"/>
    <mergeCell ref="G56:I56"/>
    <mergeCell ref="H49:I49"/>
    <mergeCell ref="M54:O54"/>
    <mergeCell ref="S87:U87"/>
    <mergeCell ref="S85:T85"/>
    <mergeCell ref="S76:U76"/>
    <mergeCell ref="P68:R68"/>
    <mergeCell ref="S83:U83"/>
    <mergeCell ref="P76:R76"/>
    <mergeCell ref="P79:R79"/>
    <mergeCell ref="G72:J72"/>
  </mergeCells>
  <phoneticPr fontId="2" type="noConversion"/>
  <conditionalFormatting sqref="T94:T95">
    <cfRule type="expression" dxfId="31" priority="38" stopIfTrue="1">
      <formula>#REF!&lt;&gt;S6</formula>
    </cfRule>
  </conditionalFormatting>
  <conditionalFormatting sqref="V28:W29 S29 U29">
    <cfRule type="expression" dxfId="30" priority="39" stopIfTrue="1">
      <formula>NOT(ISERROR(SEARCH("ERRO",S28)))</formula>
    </cfRule>
  </conditionalFormatting>
  <conditionalFormatting sqref="S64 S66 S68 F100 S87 S83 S76:S77 S74 S70:S72">
    <cfRule type="cellIs" dxfId="29" priority="40" stopIfTrue="1" operator="equal">
      <formula>"OK"</formula>
    </cfRule>
  </conditionalFormatting>
  <conditionalFormatting sqref="F156:F195">
    <cfRule type="cellIs" dxfId="28" priority="41" stopIfTrue="1" operator="equal">
      <formula>$AO$117</formula>
    </cfRule>
  </conditionalFormatting>
  <conditionalFormatting sqref="S87:T87 S85:T85">
    <cfRule type="cellIs" dxfId="27" priority="42" stopIfTrue="1" operator="equal">
      <formula>"OK"</formula>
    </cfRule>
    <cfRule type="cellIs" dxfId="26" priority="43" stopIfTrue="1" operator="equal">
      <formula>""</formula>
    </cfRule>
  </conditionalFormatting>
  <conditionalFormatting sqref="G36:I37">
    <cfRule type="expression" dxfId="25" priority="51" stopIfTrue="1">
      <formula>$G$36&lt;&gt;"ok"</formula>
    </cfRule>
  </conditionalFormatting>
  <conditionalFormatting sqref="S4:U4">
    <cfRule type="cellIs" dxfId="24" priority="52" stopIfTrue="1" operator="equal">
      <formula>"Imóvel fora do PMCMV"</formula>
    </cfRule>
  </conditionalFormatting>
  <conditionalFormatting sqref="U87 U85">
    <cfRule type="cellIs" dxfId="23" priority="66" stopIfTrue="1" operator="equal">
      <formula>"Parc. Máx. Excedido"</formula>
    </cfRule>
  </conditionalFormatting>
  <conditionalFormatting sqref="S89 S96:U96">
    <cfRule type="cellIs" dxfId="22" priority="93" stopIfTrue="1" operator="equal">
      <formula>"Ok"</formula>
    </cfRule>
  </conditionalFormatting>
  <conditionalFormatting sqref="E93">
    <cfRule type="containsText" dxfId="21" priority="27" stopIfTrue="1" operator="containsText" text="Pró- Soluto">
      <formula>NOT(ISERROR(SEARCH("Pró- Soluto",E93)))</formula>
    </cfRule>
  </conditionalFormatting>
  <conditionalFormatting sqref="E93:J95">
    <cfRule type="cellIs" dxfId="20" priority="26" stopIfTrue="1" operator="equal">
      <formula>"Pró-Soluto acima do permitido"</formula>
    </cfRule>
  </conditionalFormatting>
  <conditionalFormatting sqref="B60">
    <cfRule type="cellIs" dxfId="19" priority="19" stopIfTrue="1" operator="equal">
      <formula>"Cliente não pode utilizar Tabela PRICE"</formula>
    </cfRule>
  </conditionalFormatting>
  <conditionalFormatting sqref="B103">
    <cfRule type="cellIs" dxfId="18" priority="18" stopIfTrue="1" operator="equal">
      <formula>"Cliente não pode utilizar Tabela PRICE"</formula>
    </cfRule>
  </conditionalFormatting>
  <conditionalFormatting sqref="I34">
    <cfRule type="containsText" dxfId="17" priority="17" stopIfTrue="1" operator="containsText" text="Não Permitido">
      <formula>NOT(ISERROR(SEARCH("Não Permitido",I34)))</formula>
    </cfRule>
  </conditionalFormatting>
  <conditionalFormatting sqref="S79">
    <cfRule type="cellIs" dxfId="16" priority="16" stopIfTrue="1" operator="equal">
      <formula>"OK"</formula>
    </cfRule>
  </conditionalFormatting>
  <conditionalFormatting sqref="S81">
    <cfRule type="cellIs" dxfId="15" priority="14" stopIfTrue="1" operator="equal">
      <formula>"OK"</formula>
    </cfRule>
  </conditionalFormatting>
  <conditionalFormatting sqref="S70:S72">
    <cfRule type="cellIs" dxfId="14" priority="13" stopIfTrue="1" operator="equal">
      <formula>"OK"</formula>
    </cfRule>
  </conditionalFormatting>
  <conditionalFormatting sqref="G2:P2">
    <cfRule type="containsText" dxfId="13" priority="11" operator="containsText" text="Para Renda Superior a R$ 5.500,00 utilizar Somente TABELA SAC">
      <formula>NOT(ISERROR(SEARCH("Para Renda Superior a R$ 5.500,00 utilizar Somente TABELA SAC",G2)))</formula>
    </cfRule>
  </conditionalFormatting>
  <conditionalFormatting sqref="J19:L26">
    <cfRule type="cellIs" dxfId="12" priority="10" stopIfTrue="1" operator="equal">
      <formula>"cliente fora do PMCMV, mudar p/ SAC"</formula>
    </cfRule>
  </conditionalFormatting>
  <conditionalFormatting sqref="C35">
    <cfRule type="containsText" dxfId="11" priority="8" stopIfTrue="1" operator="containsText" text="Price">
      <formula>NOT(ISERROR(SEARCH("Price",C35)))</formula>
    </cfRule>
    <cfRule type="cellIs" dxfId="10" priority="9" stopIfTrue="1" operator="equal">
      <formula>"Price - Financia Somente em 240 meses"</formula>
    </cfRule>
  </conditionalFormatting>
  <conditionalFormatting sqref="C35:M35">
    <cfRule type="containsText" dxfId="9" priority="7" stopIfTrue="1" operator="containsText" text="Renda até R$ 5.000,00 Price - Financia Até 360 meses - Superior à R$ 5.000,00 somente em 240 meses">
      <formula>NOT(ISERROR(SEARCH("Renda até R$ 5.000,00 Price - Financia Até 360 meses - Superior à R$ 5.000,00 somente em 240 meses",C35)))</formula>
    </cfRule>
  </conditionalFormatting>
  <conditionalFormatting sqref="G1">
    <cfRule type="expression" dxfId="8" priority="24">
      <formula>$G$1="TABELA PRICE"</formula>
    </cfRule>
    <cfRule type="expression" dxfId="7" priority="25">
      <formula>$G$1="TABELA SAC"</formula>
    </cfRule>
  </conditionalFormatting>
  <conditionalFormatting sqref="E96">
    <cfRule type="containsText" dxfId="6" priority="5" stopIfTrue="1" operator="containsText" text="Pró- Soluto">
      <formula>NOT(ISERROR(SEARCH("Pró- Soluto",E96)))</formula>
    </cfRule>
  </conditionalFormatting>
  <conditionalFormatting sqref="E97:J97 E96">
    <cfRule type="cellIs" dxfId="5" priority="4" stopIfTrue="1" operator="equal">
      <formula>"Pró-Soluto acima do permitido"</formula>
    </cfRule>
  </conditionalFormatting>
  <conditionalFormatting sqref="K96:L96">
    <cfRule type="cellIs" dxfId="4" priority="1" operator="greaterThan">
      <formula>0.15</formula>
    </cfRule>
  </conditionalFormatting>
  <dataValidations count="31">
    <dataValidation type="decimal" operator="lessThanOrEqual" allowBlank="1" showErrorMessage="1" error="Valor superior ao permitido." sqref="P92:R92">
      <formula1>S28</formula1>
    </dataValidation>
    <dataValidation type="decimal" operator="lessThanOrEqual" allowBlank="1" showErrorMessage="1" sqref="G89:J89">
      <formula1>AL89</formula1>
    </dataValidation>
    <dataValidation type="list" allowBlank="1" showInputMessage="1" showErrorMessage="1" sqref="D74 D87 D79 D85 D48 D50 D52 D81 D77">
      <formula1>$GZ$39:$GZ$47</formula1>
    </dataValidation>
    <dataValidation allowBlank="1" showInputMessage="1" showErrorMessage="1" errorTitle="seu burro" sqref="IB76:IB77 IB79 IB81"/>
    <dataValidation allowBlank="1" showInputMessage="1" showErrorMessage="1" error="Opção Inválida!" sqref="E37"/>
    <dataValidation type="list" allowBlank="1" showInputMessage="1" showErrorMessage="1" error="Seleção Inválida!" sqref="T92">
      <formula1>$AC$74:$AC$75</formula1>
    </dataValidation>
    <dataValidation type="list" allowBlank="1" showInputMessage="1" showErrorMessage="1" sqref="D71">
      <formula1>$GZ$39:$GZ$48</formula1>
    </dataValidation>
    <dataValidation type="custom" operator="lessThanOrEqual" allowBlank="1" showInputMessage="1" showErrorMessage="1" errorTitle="Parcelas Anuais" error="A última parcela anual não deve ultrapassar novembro/2020." promptTitle="Parcelas Anuais" prompt="A última parcela anual não deve ultrapassar novembro/2020." sqref="E79:F79">
      <formula1>AR90="ok"</formula1>
    </dataValidation>
    <dataValidation type="whole" operator="lessThanOrEqual" allowBlank="1" showErrorMessage="1" promptTitle="Parcelas Mensais" prompt="A quantidade de parcelas mensais não pode ultrapassar de _x000a_" sqref="E76:F77">
      <formula1>D96</formula1>
    </dataValidation>
    <dataValidation type="whole" operator="lessThan" allowBlank="1" showInputMessage="1" showErrorMessage="1" sqref="K77:L77">
      <formula1>5</formula1>
    </dataValidation>
    <dataValidation type="custom" showInputMessage="1" showErrorMessage="1" errorTitle="Parcelas Anuais" error="A última parcela anual não deve ultrapassar novembro/2020." promptTitle="Parcelas Anuais" prompt="A última parcela anual não deve ultrapassar novembro/2020." sqref="M79:O79">
      <formula1>AR90="ok"</formula1>
    </dataValidation>
    <dataValidation errorStyle="warning" operator="lessThanOrEqual" allowBlank="1" error="Valor do FGTS superior ao permitido e necessário." prompt="Preencher se tiver depósitos de FGTS há mais de 3 anos. _x000a_" sqref="S20:U21"/>
    <dataValidation type="list" allowBlank="1" showInputMessage="1" showErrorMessage="1" sqref="S16">
      <formula1>$IQ$89:$IQ$120</formula1>
    </dataValidation>
    <dataValidation type="list" allowBlank="1" showInputMessage="1" showErrorMessage="1" sqref="T16">
      <formula1>$IR$89:$IR$101</formula1>
    </dataValidation>
    <dataValidation type="list" allowBlank="1" showInputMessage="1" showErrorMessage="1" sqref="U16">
      <formula1>$IS$89:$IS$159</formula1>
    </dataValidation>
    <dataValidation type="list" errorStyle="warning" allowBlank="1" showInputMessage="1" error="Prazo excedido!" sqref="G30">
      <formula1>IF(AND(G1="TABELA PRICE",G32="Sim"),$IP$89:$IP$91,$IP$89:$IP$93)</formula1>
    </dataValidation>
    <dataValidation type="list" allowBlank="1" showInputMessage="1" showErrorMessage="1" error="CADASTRA EMPRESA DE VENDAS" sqref="S8:U8">
      <formula1>$HG$5:$HG$6</formula1>
    </dataValidation>
    <dataValidation type="list" allowBlank="1" showInputMessage="1" showErrorMessage="1" sqref="G1:H1">
      <formula1>$AC$20:$AC$21</formula1>
    </dataValidation>
    <dataValidation type="list" allowBlank="1" showInputMessage="1" showErrorMessage="1" sqref="D25">
      <formula1>$G$22:$I$22</formula1>
    </dataValidation>
    <dataValidation allowBlank="1" showInputMessage="1" showErrorMessage="1" error="CADASTRAR EMPREENDIMENTO EM &quot;DADOS DOS EMPREENDIMENTOS&quot;" sqref="G4:P4"/>
    <dataValidation type="whole" operator="greaterThanOrEqual" allowBlank="1" showInputMessage="1" showErrorMessage="1" sqref="E24">
      <formula1>0</formula1>
    </dataValidation>
    <dataValidation allowBlank="1" showInputMessage="1" showErrorMessage="1" prompt="No caso de apenas 1 comprador, verificar se o cliente possui dependente comprovado. Se sim, preencher como 2 proponentes para aumento do subsídio." sqref="C22:C23"/>
    <dataValidation errorStyle="warning" allowBlank="1" showInputMessage="1" error="Prazo excedido!" sqref="H30:I30 G31 H31:P33 V31:Z33 Q31:U32"/>
    <dataValidation type="list" allowBlank="1" showInputMessage="1" showErrorMessage="1" sqref="I6">
      <formula1>INDIRECT("APOIO!$C$9:$C$243")</formula1>
    </dataValidation>
    <dataValidation type="list" allowBlank="1" showInputMessage="1" showErrorMessage="1" sqref="E23 G32">
      <formula1>INDIRECT("APOIO!H1:H2")</formula1>
    </dataValidation>
    <dataValidation type="list" allowBlank="1" showInputMessage="1" showErrorMessage="1" sqref="E21:E22">
      <formula1>$G$22:$H$22</formula1>
    </dataValidation>
    <dataValidation allowBlank="1" showInputMessage="1" showErrorMessage="1" promptTitle="Aprovação Pendente" prompt="Acima de 15%, pedir aprovação ao Victor Medeiros." sqref="K96:L96"/>
    <dataValidation type="whole" operator="lessThanOrEqual" allowBlank="1" showInputMessage="1" showErrorMessage="1" sqref="K76:L76">
      <formula1>4</formula1>
    </dataValidation>
    <dataValidation allowBlank="1" showInputMessage="1" showErrorMessage="1" promptTitle="Parcelas + ITBI/Registro" prompt="Pró soluto + ITBI e Registro " sqref="P77:R77"/>
    <dataValidation allowBlank="1" showInputMessage="1" showErrorMessage="1" promptTitle="Parcelas com ITBI e Registro" prompt="Parcelas com ITBI e Registro inseridos." sqref="G77:J77"/>
    <dataValidation type="whole" operator="lessThanOrEqual" allowBlank="1" showInputMessage="1" showErrorMessage="1" sqref="E72:F72">
      <formula1>2</formula1>
    </dataValidation>
  </dataValidations>
  <printOptions horizontalCentered="1" verticalCentered="1"/>
  <pageMargins left="0.64" right="0.51181102362204722" top="0.35" bottom="0.28000000000000003" header="0.31496062992125984" footer="0.31496062992125984"/>
  <pageSetup paperSize="9" scale="29" orientation="portrait" r:id="rId1"/>
  <headerFooter alignWithMargins="0"/>
  <cellWatches>
    <cellWatch r="T16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Apoio!$C$9:$C$243</xm:f>
          </x14:formula1>
          <xm:sqref>I6</xm:sqref>
        </x14:dataValidation>
        <x14:dataValidation type="list" allowBlank="1" showInputMessage="1" showErrorMessage="1">
          <x14:formula1>
            <xm:f>Plan5!$A$1:$A$2</xm:f>
          </x14:formula1>
          <xm:sqref>E23 G32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indexed="62"/>
    <pageSetUpPr fitToPage="1"/>
  </sheetPr>
  <dimension ref="A1:W58"/>
  <sheetViews>
    <sheetView showGridLines="0" zoomScale="85" zoomScaleNormal="85" zoomScaleSheetLayoutView="100" workbookViewId="0">
      <selection activeCell="O5" sqref="O5"/>
    </sheetView>
  </sheetViews>
  <sheetFormatPr defaultColWidth="9.7109375" defaultRowHeight="12.75" x14ac:dyDescent="0.2"/>
  <cols>
    <col min="1" max="1" width="1.85546875" style="162" customWidth="1"/>
    <col min="2" max="2" width="7.7109375" style="188" bestFit="1" customWidth="1"/>
    <col min="3" max="3" width="10.28515625" style="189" bestFit="1" customWidth="1"/>
    <col min="4" max="4" width="8.42578125" style="190" customWidth="1"/>
    <col min="5" max="5" width="9.7109375" style="162" customWidth="1"/>
    <col min="6" max="6" width="29.85546875" style="162" customWidth="1"/>
    <col min="7" max="7" width="12" style="162" customWidth="1"/>
    <col min="8" max="8" width="11" style="189" customWidth="1"/>
    <col min="9" max="9" width="1.28515625" style="189" customWidth="1"/>
    <col min="10" max="10" width="23.140625" style="189" customWidth="1"/>
    <col min="11" max="11" width="11" style="162" customWidth="1"/>
    <col min="12" max="12" width="14.5703125" style="162" bestFit="1" customWidth="1"/>
    <col min="13" max="13" width="28" style="162" bestFit="1" customWidth="1"/>
    <col min="14" max="14" width="11.5703125" style="162" bestFit="1" customWidth="1"/>
    <col min="15" max="15" width="24.42578125" style="162" bestFit="1" customWidth="1"/>
    <col min="16" max="16" width="34.85546875" style="162" bestFit="1" customWidth="1"/>
    <col min="17" max="18" width="9.7109375" style="162" customWidth="1"/>
    <col min="19" max="19" width="30.140625" style="162" bestFit="1" customWidth="1"/>
    <col min="20" max="20" width="14.28515625" style="162" customWidth="1"/>
    <col min="21" max="21" width="9.7109375" style="162" customWidth="1"/>
    <col min="22" max="22" width="23.42578125" style="162" bestFit="1" customWidth="1"/>
    <col min="23" max="16384" width="9.7109375" style="162"/>
  </cols>
  <sheetData>
    <row r="1" spans="1:23" ht="23.25" customHeight="1" x14ac:dyDescent="0.2">
      <c r="J1" s="191" t="s">
        <v>203</v>
      </c>
    </row>
    <row r="2" spans="1:23" s="194" customFormat="1" ht="40.5" customHeight="1" thickBot="1" x14ac:dyDescent="0.25">
      <c r="B2" s="1078" t="s">
        <v>0</v>
      </c>
      <c r="C2" s="1078"/>
      <c r="D2" s="193" t="s">
        <v>3</v>
      </c>
      <c r="F2" s="160" t="s">
        <v>9</v>
      </c>
      <c r="G2" s="195" t="s">
        <v>109</v>
      </c>
      <c r="H2" s="192" t="s">
        <v>110</v>
      </c>
      <c r="I2" s="189"/>
      <c r="J2" s="196" t="s">
        <v>135</v>
      </c>
      <c r="K2" s="162"/>
      <c r="L2" s="1085" t="s">
        <v>103</v>
      </c>
      <c r="M2" s="1085"/>
      <c r="N2" s="1085"/>
      <c r="O2" s="1086"/>
      <c r="P2" s="1086"/>
      <c r="Q2" s="1086"/>
      <c r="S2" s="1068" t="s">
        <v>95</v>
      </c>
      <c r="T2" s="1068"/>
    </row>
    <row r="3" spans="1:23" ht="13.5" thickBot="1" x14ac:dyDescent="0.25">
      <c r="B3" s="526"/>
      <c r="C3" s="553">
        <v>0.01</v>
      </c>
      <c r="D3" s="554">
        <v>5.5E-2</v>
      </c>
      <c r="F3" s="197" t="s">
        <v>5</v>
      </c>
      <c r="G3" s="198">
        <v>240000</v>
      </c>
      <c r="H3" s="199">
        <v>240000</v>
      </c>
      <c r="J3" s="200">
        <f>Apoio!E4</f>
        <v>240000</v>
      </c>
      <c r="L3" s="201" t="s">
        <v>91</v>
      </c>
      <c r="M3" s="202" t="s">
        <v>25</v>
      </c>
      <c r="N3" s="203" t="s">
        <v>24</v>
      </c>
      <c r="O3" s="204">
        <f>'Simulador CEF'!G30</f>
        <v>360</v>
      </c>
      <c r="P3" s="1083" t="s">
        <v>104</v>
      </c>
      <c r="Q3" s="1084"/>
      <c r="S3" s="206"/>
      <c r="T3" s="206"/>
      <c r="V3" s="1072" t="s">
        <v>145</v>
      </c>
      <c r="W3" s="1073"/>
    </row>
    <row r="4" spans="1:23" s="209" customFormat="1" ht="13.5" thickBot="1" x14ac:dyDescent="0.25">
      <c r="B4" s="526"/>
      <c r="C4" s="553">
        <v>2600</v>
      </c>
      <c r="D4" s="554">
        <v>5.5E-2</v>
      </c>
      <c r="E4" s="207"/>
      <c r="F4" s="197" t="s">
        <v>6</v>
      </c>
      <c r="G4" s="208">
        <v>27500</v>
      </c>
      <c r="H4" s="198">
        <v>27500</v>
      </c>
      <c r="I4" s="189"/>
      <c r="J4" s="1074" t="s">
        <v>146</v>
      </c>
      <c r="K4" s="209">
        <v>179058.78899999999</v>
      </c>
      <c r="L4" s="210" t="e">
        <f>(#REF!-#REF!)*M9</f>
        <v>#REF!</v>
      </c>
      <c r="M4" s="211" t="e">
        <f>(#REF!-#REF!)*M9</f>
        <v>#REF!</v>
      </c>
      <c r="N4" s="212" t="e">
        <f>(#REF!-#REF!)*N9</f>
        <v>#REF!</v>
      </c>
      <c r="O4" s="695">
        <f>J13*0.8</f>
        <v>172800</v>
      </c>
      <c r="P4" s="732" t="s">
        <v>478</v>
      </c>
      <c r="Q4" s="214"/>
      <c r="S4" s="215">
        <v>240</v>
      </c>
      <c r="T4" s="216"/>
      <c r="V4" s="217" t="s">
        <v>26</v>
      </c>
      <c r="W4" s="218">
        <f>IF('Simulador CEF'!S20&lt;&gt;0,1,0)</f>
        <v>1</v>
      </c>
    </row>
    <row r="5" spans="1:23" x14ac:dyDescent="0.2">
      <c r="B5" s="526"/>
      <c r="C5" s="553">
        <v>3000</v>
      </c>
      <c r="D5" s="554">
        <v>0.06</v>
      </c>
      <c r="E5" s="207"/>
      <c r="F5" s="197" t="s">
        <v>11</v>
      </c>
      <c r="G5" s="198"/>
      <c r="H5" s="219"/>
      <c r="J5" s="1075"/>
      <c r="K5" s="162">
        <v>198954.21</v>
      </c>
      <c r="L5" s="210" t="e">
        <f>#REF!-'Simulador CEF'!S20-'Premissas e Calculos'!G17-#REF!</f>
        <v>#REF!</v>
      </c>
      <c r="M5" s="211" t="e">
        <f>#REF!-'Simulador CEF'!S20-'Premissas e Calculos'!G17-#REF!</f>
        <v>#REF!</v>
      </c>
      <c r="N5" s="212" t="e">
        <f>#REF!-'Simulador CEF'!S20-'Premissas e Calculos'!G17-#REF!</f>
        <v>#REF!</v>
      </c>
      <c r="O5" s="213">
        <f>IF(J11-J13&gt;(G29*J11),J13-J21-'Premissas e Calculos'!J17,J11-J21-'Premissas e Calculos'!J17-G29*J11)</f>
        <v>145761.32</v>
      </c>
      <c r="P5" s="214" t="s">
        <v>98</v>
      </c>
      <c r="Q5" s="214"/>
      <c r="S5" s="220">
        <v>300</v>
      </c>
      <c r="T5" s="221"/>
    </row>
    <row r="6" spans="1:23" ht="13.5" thickBot="1" x14ac:dyDescent="0.25">
      <c r="B6" s="526"/>
      <c r="C6" s="553">
        <v>4000</v>
      </c>
      <c r="D6" s="554">
        <v>7.0000000000000007E-2</v>
      </c>
      <c r="E6" s="207"/>
      <c r="F6" s="197" t="s">
        <v>8</v>
      </c>
      <c r="G6" s="198"/>
      <c r="H6" s="222"/>
      <c r="J6" s="77">
        <f>'Simulador CEF'!F20</f>
        <v>4920</v>
      </c>
      <c r="K6" s="162">
        <v>195125.57663436601</v>
      </c>
      <c r="L6" s="210" t="e">
        <f>IF(#REF!="","",((#REF!)/((1/#REF!)+('Premissas e Calculos'!J9/12))))</f>
        <v>#REF!</v>
      </c>
      <c r="M6" s="211">
        <f ca="1">(($M$17)/((1/M8)+('Premissas e Calculos'!J9/12)))</f>
        <v>140651.11205100163</v>
      </c>
      <c r="N6" s="212">
        <f ca="1">((M17)/((1/N8)+('Premissas e Calculos'!J9/12)))</f>
        <v>129963.33757904105</v>
      </c>
      <c r="O6" s="213">
        <f ca="1">IF(P15=1,((M17)/((1/J19)+('Premissas e Calculos'!J9/12))),M17*(((J9/12)+1)^J19-1)/((J9/12)*(1+(J9/12))^J19))</f>
        <v>148809.52922333352</v>
      </c>
      <c r="P6" s="214" t="s">
        <v>23</v>
      </c>
      <c r="Q6" s="214"/>
      <c r="S6" s="223">
        <f>IF('Premissas e Calculos'!J6&lt;=2790,"",360)</f>
        <v>360</v>
      </c>
      <c r="T6" s="224"/>
    </row>
    <row r="7" spans="1:23" x14ac:dyDescent="0.2">
      <c r="B7" s="225"/>
      <c r="C7" s="553">
        <v>7000</v>
      </c>
      <c r="D7" s="554">
        <v>8.1600000000000006E-2</v>
      </c>
      <c r="E7" s="207"/>
      <c r="F7" s="226" t="s">
        <v>12</v>
      </c>
      <c r="G7" s="219"/>
      <c r="H7" s="219"/>
      <c r="J7" s="1076" t="s">
        <v>157</v>
      </c>
      <c r="K7" s="162">
        <v>198954.21</v>
      </c>
      <c r="L7" s="210" t="e">
        <f>#REF!*(1-#REF!)</f>
        <v>#REF!</v>
      </c>
      <c r="M7" s="211" t="e">
        <f>#REF!*(1-#REF!)</f>
        <v>#REF!</v>
      </c>
      <c r="N7" s="227" t="e">
        <f>#REF!*(1-#REF!)</f>
        <v>#REF!</v>
      </c>
      <c r="O7" s="228">
        <f>J11*(1-G29)</f>
        <v>210439.32</v>
      </c>
      <c r="P7" s="214" t="s">
        <v>27</v>
      </c>
      <c r="Q7" s="214"/>
      <c r="S7" s="229" t="s">
        <v>97</v>
      </c>
      <c r="T7" s="230" t="s">
        <v>96</v>
      </c>
    </row>
    <row r="8" spans="1:23" ht="13.5" thickBot="1" x14ac:dyDescent="0.25">
      <c r="B8" s="527" t="s">
        <v>2</v>
      </c>
      <c r="C8" s="555"/>
      <c r="D8" s="556"/>
      <c r="E8" s="207"/>
      <c r="F8" s="231" t="s">
        <v>108</v>
      </c>
      <c r="G8" s="232"/>
      <c r="H8" s="219"/>
      <c r="J8" s="1076"/>
      <c r="L8" s="233">
        <v>360</v>
      </c>
      <c r="M8" s="234">
        <v>300</v>
      </c>
      <c r="N8" s="235">
        <v>240</v>
      </c>
      <c r="O8" s="205">
        <f>J19</f>
        <v>360</v>
      </c>
      <c r="P8" s="1079" t="s">
        <v>133</v>
      </c>
      <c r="Q8" s="1080"/>
      <c r="S8" s="217">
        <f>IF(AND('Premissas e Calculos'!J6&lt;=G14,T8=3),2,T8)</f>
        <v>2</v>
      </c>
      <c r="T8" s="236">
        <v>3</v>
      </c>
    </row>
    <row r="9" spans="1:23" s="209" customFormat="1" x14ac:dyDescent="0.2">
      <c r="A9" s="162"/>
      <c r="B9" s="188"/>
      <c r="C9" s="189"/>
      <c r="D9" s="190"/>
      <c r="E9" s="207"/>
      <c r="F9" s="231" t="s">
        <v>105</v>
      </c>
      <c r="G9" s="232"/>
      <c r="H9" s="219"/>
      <c r="I9" s="189"/>
      <c r="J9" s="78">
        <f>IF(J6&lt;=C4,D4,IF(J6&lt;=C5,D5,IF(J6&lt;=C6,D6,IF(J6&lt;=C7,D7,IF(J6&lt;=C8,D8,10.48%)))))</f>
        <v>8.1600000000000006E-2</v>
      </c>
      <c r="K9" s="69"/>
      <c r="L9" s="237">
        <f>M9</f>
        <v>0.8</v>
      </c>
      <c r="M9" s="238">
        <f>N9</f>
        <v>0.8</v>
      </c>
      <c r="N9" s="238">
        <f>O9</f>
        <v>0.8</v>
      </c>
      <c r="O9" s="239">
        <f>IF('Simulador CEF'!$G$1="TABELA SAC",80%,80%)</f>
        <v>0.8</v>
      </c>
      <c r="P9" s="1081"/>
      <c r="Q9" s="1082"/>
      <c r="S9" s="11"/>
      <c r="T9" s="11"/>
    </row>
    <row r="10" spans="1:23" ht="13.5" thickBot="1" x14ac:dyDescent="0.25">
      <c r="E10" s="207"/>
      <c r="F10" s="231" t="s">
        <v>106</v>
      </c>
      <c r="G10" s="240"/>
      <c r="H10" s="219"/>
      <c r="J10" s="241" t="s">
        <v>22</v>
      </c>
      <c r="L10" s="1087"/>
      <c r="M10" s="1088"/>
      <c r="N10" s="1089"/>
      <c r="O10" s="242">
        <f ca="1">SMALL(O4:O7,1)</f>
        <v>145761.32</v>
      </c>
      <c r="S10" s="11" t="e">
        <f>#REF!+#REF!+G17+'Simulador CEF'!S20=#REF!</f>
        <v>#REF!</v>
      </c>
      <c r="T10" s="11" t="e">
        <f>#REF!=#REF!+#REF!+'Simulador CEF'!S20+G17</f>
        <v>#REF!</v>
      </c>
    </row>
    <row r="11" spans="1:23" x14ac:dyDescent="0.2">
      <c r="E11" s="207"/>
      <c r="F11" s="197" t="s">
        <v>4</v>
      </c>
      <c r="G11" s="243">
        <v>4.4499999999999998E-2</v>
      </c>
      <c r="H11" s="243">
        <f>G11</f>
        <v>4.4499999999999998E-2</v>
      </c>
      <c r="J11" s="244">
        <f>'Simulador CEF'!S6</f>
        <v>220240</v>
      </c>
      <c r="S11" s="245"/>
      <c r="T11" s="148"/>
    </row>
    <row r="12" spans="1:23" ht="25.5" x14ac:dyDescent="0.2">
      <c r="B12" s="648" t="s">
        <v>446</v>
      </c>
      <c r="C12" s="648" t="s">
        <v>447</v>
      </c>
      <c r="E12" s="207"/>
      <c r="F12" s="197" t="s">
        <v>7</v>
      </c>
      <c r="G12" s="243">
        <v>0.3</v>
      </c>
      <c r="H12" s="243">
        <f>G12</f>
        <v>0.3</v>
      </c>
      <c r="J12" s="241" t="s">
        <v>21</v>
      </c>
      <c r="L12" s="162">
        <f>J3/(1-G29)</f>
        <v>251177.39403453688</v>
      </c>
      <c r="O12" s="694"/>
      <c r="S12" s="246"/>
      <c r="T12" s="148"/>
    </row>
    <row r="13" spans="1:23" s="209" customFormat="1" ht="25.5" x14ac:dyDescent="0.2">
      <c r="A13" s="162"/>
      <c r="B13" s="647"/>
      <c r="C13" s="647">
        <v>0.7</v>
      </c>
      <c r="D13" s="190"/>
      <c r="E13" s="207"/>
      <c r="F13" s="197" t="s">
        <v>13</v>
      </c>
      <c r="G13" s="247">
        <v>954</v>
      </c>
      <c r="H13" s="247">
        <f>SM</f>
        <v>954</v>
      </c>
      <c r="I13" s="189"/>
      <c r="J13" s="244">
        <f>VLOOKUP('Simulador CEF'!I6,Apoio!C9:E243,3,FALSE)</f>
        <v>216000</v>
      </c>
      <c r="K13" s="162"/>
      <c r="M13" s="276">
        <f>J13*0.8</f>
        <v>172800</v>
      </c>
      <c r="O13" s="248" t="s">
        <v>164</v>
      </c>
      <c r="P13" s="533">
        <f>O4*G32</f>
        <v>170553.60000000001</v>
      </c>
      <c r="S13" s="734"/>
      <c r="T13" s="11"/>
    </row>
    <row r="14" spans="1:23" x14ac:dyDescent="0.2">
      <c r="B14" s="189">
        <v>29000</v>
      </c>
      <c r="C14" s="189">
        <f>B14*$C$13</f>
        <v>20300</v>
      </c>
      <c r="E14" s="207"/>
      <c r="F14" s="250" t="s">
        <v>94</v>
      </c>
      <c r="G14" s="251">
        <f>6*G13</f>
        <v>5724</v>
      </c>
      <c r="H14" s="251">
        <f>G14</f>
        <v>5724</v>
      </c>
      <c r="J14" s="252"/>
      <c r="L14" s="731">
        <f>208000*0.8</f>
        <v>166400</v>
      </c>
      <c r="O14" s="253">
        <v>420</v>
      </c>
      <c r="P14" s="534">
        <f>125*0.96*0.96</f>
        <v>115.19999999999999</v>
      </c>
      <c r="S14" s="11"/>
      <c r="T14" s="11"/>
    </row>
    <row r="15" spans="1:23" ht="18" x14ac:dyDescent="0.2">
      <c r="B15" s="189">
        <v>14775</v>
      </c>
      <c r="C15" s="189">
        <f>B15*$C$13</f>
        <v>10342.5</v>
      </c>
      <c r="E15" s="207"/>
      <c r="F15" s="250" t="s">
        <v>107</v>
      </c>
      <c r="G15" s="254">
        <v>0.06</v>
      </c>
      <c r="H15" s="254">
        <f>INCC</f>
        <v>0.06</v>
      </c>
      <c r="J15" s="1076" t="s">
        <v>134</v>
      </c>
      <c r="O15" s="255" t="s">
        <v>124</v>
      </c>
      <c r="P15" s="535">
        <f>'Simulador CEF'!AA20</f>
        <v>1</v>
      </c>
      <c r="Q15" s="256"/>
    </row>
    <row r="16" spans="1:23" ht="18" x14ac:dyDescent="0.2">
      <c r="B16" s="189">
        <v>6115</v>
      </c>
      <c r="C16" s="189">
        <f>B16*$C$13</f>
        <v>4280.5</v>
      </c>
      <c r="E16" s="207"/>
      <c r="F16" s="250" t="s">
        <v>19</v>
      </c>
      <c r="G16" s="254">
        <v>0.8</v>
      </c>
      <c r="H16" s="254">
        <f>OBRA_VGV</f>
        <v>0.8</v>
      </c>
      <c r="J16" s="1076"/>
      <c r="L16" s="214" t="s">
        <v>101</v>
      </c>
      <c r="M16" s="214" t="s">
        <v>102</v>
      </c>
      <c r="O16" s="257">
        <f ca="1">IF('Simulador CEF'!IW89+'Premissas e Calculos'!O14+J28&lt;=972,'Premissas e Calculos'!O14,(972-'Simulador CEF'!IW89-J28))</f>
        <v>420</v>
      </c>
      <c r="P16" s="258"/>
      <c r="Q16" s="258"/>
    </row>
    <row r="17" spans="1:20" x14ac:dyDescent="0.2">
      <c r="B17" s="189">
        <v>2585</v>
      </c>
      <c r="C17" s="189">
        <f>B17*$C$13</f>
        <v>1809.4999999999998</v>
      </c>
      <c r="E17" s="207"/>
      <c r="F17" s="259" t="s">
        <v>1</v>
      </c>
      <c r="G17" s="260">
        <f>IF(OR('Simulador CEF'!D26=2,'Simulador CEF'!E23="SIM"),IF(J6&lt;=1800,B14,IF(J6&lt;2349.99,B14-(B14-B15)*(J6-1800)/550,IF(J6&lt;2789.99,B15-(B15-B16)*(J6-2350)/440,IF(J6&lt;3274.99,B16-(B16-B17)*(J6-2790)/485,IF(J6&lt;=3600,B17,0))))),IF('Simulador CEF'!D26=1,IF(J6&lt;=1800,C14,IF(J6&lt;2349.99,C14-(C14-C15)*(J6-1800)/550,IF(J6&lt;2789.99,C15-(C15-C16)*(J6-2350)/440,IF(J6&lt;3274.99,C16-(C16-C17)*(J6-2790)/485,IF(J6&lt;=3600,C17,0)))))))</f>
        <v>0</v>
      </c>
      <c r="H17" s="260">
        <f>G17</f>
        <v>0</v>
      </c>
      <c r="J17" s="261">
        <f>IF('Simulador CEF'!E37="sim",IF(AND(J11*(1-G29)&lt;=J3,J13&lt;=J3),IF(J3=VMI,G17,H17),0),0)</f>
        <v>0</v>
      </c>
      <c r="L17" s="262">
        <f ca="1">((J6*'Premissas e Calculos'!G12)-IF(J6&gt;2790,H19,0))/(1+Q32)</f>
        <v>1425.2646021168168</v>
      </c>
      <c r="M17" s="263">
        <f ca="1">IF(J6&lt;='Premissas e Calculos'!G20,'Premissas e Calculos'!L17,'Premissas e Calculos'!L17-'Premissas e Calculos'!G19)</f>
        <v>1425.2646021168168</v>
      </c>
      <c r="O17" s="264"/>
      <c r="P17" s="148"/>
      <c r="Q17" s="148"/>
    </row>
    <row r="18" spans="1:20" ht="25.5" customHeight="1" x14ac:dyDescent="0.2">
      <c r="E18" s="207"/>
      <c r="J18" s="241" t="s">
        <v>121</v>
      </c>
      <c r="L18" s="1070" t="s">
        <v>172</v>
      </c>
      <c r="M18" s="1071"/>
      <c r="P18" s="245"/>
      <c r="Q18" s="245"/>
    </row>
    <row r="19" spans="1:20" s="209" customFormat="1" x14ac:dyDescent="0.2">
      <c r="A19" s="162"/>
      <c r="B19" s="188"/>
      <c r="C19" s="189"/>
      <c r="D19" s="190"/>
      <c r="E19" s="207" t="s">
        <v>288</v>
      </c>
      <c r="F19" s="247" t="s">
        <v>143</v>
      </c>
      <c r="G19" s="247">
        <v>21.66</v>
      </c>
      <c r="H19" s="247">
        <f>G19</f>
        <v>21.66</v>
      </c>
      <c r="I19" s="189"/>
      <c r="J19" s="265">
        <f>O3</f>
        <v>360</v>
      </c>
      <c r="K19" s="162"/>
      <c r="L19" s="266">
        <f>J6*0.9*G12</f>
        <v>1328.3999999999999</v>
      </c>
      <c r="M19" s="266">
        <f>IF(J6&lt;='Premissas e Calculos'!G20,'Premissas e Calculos'!L19,'Premissas e Calculos'!L19-'Premissas e Calculos'!G19)+J33*70%/12</f>
        <v>1328.3999999999999</v>
      </c>
      <c r="O19" s="209" t="s">
        <v>479</v>
      </c>
    </row>
    <row r="20" spans="1:20" x14ac:dyDescent="0.2">
      <c r="E20" s="207" t="s">
        <v>288</v>
      </c>
      <c r="F20" s="247" t="s">
        <v>144</v>
      </c>
      <c r="G20" s="267">
        <f>G14</f>
        <v>5724</v>
      </c>
      <c r="H20" s="267">
        <f>G20</f>
        <v>5724</v>
      </c>
      <c r="J20" s="241" t="s">
        <v>10</v>
      </c>
      <c r="T20" s="733"/>
    </row>
    <row r="21" spans="1:20" x14ac:dyDescent="0.2">
      <c r="E21" s="207"/>
      <c r="J21" s="268">
        <f>'Simulador CEF'!S20</f>
        <v>64678</v>
      </c>
    </row>
    <row r="22" spans="1:20" ht="31.5" customHeight="1" x14ac:dyDescent="0.2">
      <c r="E22" s="207"/>
      <c r="J22" s="269"/>
      <c r="O22" s="330" t="s">
        <v>264</v>
      </c>
      <c r="P22" s="330" t="s">
        <v>265</v>
      </c>
      <c r="Q22" s="330" t="s">
        <v>266</v>
      </c>
      <c r="R22" s="330" t="s">
        <v>20</v>
      </c>
    </row>
    <row r="23" spans="1:20" x14ac:dyDescent="0.2">
      <c r="E23" s="207"/>
      <c r="J23" s="269"/>
      <c r="O23" s="331">
        <v>0</v>
      </c>
      <c r="P23" s="332">
        <v>1.5</v>
      </c>
      <c r="Q23" s="332">
        <v>0.5</v>
      </c>
      <c r="R23" s="332">
        <f>Q23+P23</f>
        <v>2</v>
      </c>
    </row>
    <row r="24" spans="1:20" x14ac:dyDescent="0.2">
      <c r="E24" s="207"/>
      <c r="J24" s="241" t="s">
        <v>199</v>
      </c>
      <c r="L24" s="270"/>
      <c r="M24" s="270"/>
      <c r="N24" s="270"/>
      <c r="O24" s="331">
        <f>25 + 1/10^6</f>
        <v>25.000001000000001</v>
      </c>
      <c r="P24" s="333">
        <v>1.54</v>
      </c>
      <c r="Q24" s="332">
        <v>0.5</v>
      </c>
      <c r="R24" s="332">
        <f t="shared" ref="R24:R29" si="0">Q24+P24</f>
        <v>2.04</v>
      </c>
    </row>
    <row r="25" spans="1:20" s="209" customFormat="1" x14ac:dyDescent="0.2">
      <c r="A25" s="162"/>
      <c r="B25" s="188"/>
      <c r="C25" s="189"/>
      <c r="D25" s="190"/>
      <c r="E25" s="207"/>
      <c r="F25" s="1077" t="s">
        <v>182</v>
      </c>
      <c r="G25" s="1090">
        <v>0.04</v>
      </c>
      <c r="H25" s="271"/>
      <c r="I25" s="189"/>
      <c r="J25" s="272">
        <f>MINA(J11*(1-G25)-J17,J13)</f>
        <v>211430.39999999999</v>
      </c>
      <c r="K25" s="162"/>
      <c r="L25" s="249"/>
      <c r="M25" s="249"/>
      <c r="N25" s="249"/>
      <c r="O25" s="331">
        <f>30+ 1/10^6</f>
        <v>30.000001000000001</v>
      </c>
      <c r="P25" s="333">
        <v>1.64</v>
      </c>
      <c r="Q25" s="332">
        <v>0.5</v>
      </c>
      <c r="R25" s="332">
        <f t="shared" si="0"/>
        <v>2.1399999999999997</v>
      </c>
    </row>
    <row r="26" spans="1:20" ht="23.25" x14ac:dyDescent="0.2">
      <c r="F26" s="1077"/>
      <c r="G26" s="1091"/>
      <c r="J26" s="269"/>
      <c r="L26" s="294"/>
      <c r="M26" s="329"/>
      <c r="N26" s="329"/>
      <c r="O26" s="331">
        <f>35+ 1/10^6</f>
        <v>35.000000999999997</v>
      </c>
      <c r="P26" s="333">
        <v>1.82</v>
      </c>
      <c r="Q26" s="332">
        <v>0.5</v>
      </c>
      <c r="R26" s="332">
        <f t="shared" si="0"/>
        <v>2.3200000000000003</v>
      </c>
    </row>
    <row r="27" spans="1:20" x14ac:dyDescent="0.2">
      <c r="F27" s="1077"/>
      <c r="G27" s="1092"/>
      <c r="J27" s="241" t="s">
        <v>201</v>
      </c>
      <c r="L27" s="294"/>
      <c r="M27" s="270"/>
      <c r="N27" s="270"/>
      <c r="O27" s="331">
        <f>40+ 1/10^6</f>
        <v>40.000000999999997</v>
      </c>
      <c r="P27" s="333">
        <v>2.59</v>
      </c>
      <c r="Q27" s="332">
        <v>0.5</v>
      </c>
      <c r="R27" s="332">
        <f t="shared" si="0"/>
        <v>3.09</v>
      </c>
    </row>
    <row r="28" spans="1:20" x14ac:dyDescent="0.2">
      <c r="E28" s="162" t="s">
        <v>288</v>
      </c>
      <c r="J28" s="268">
        <v>36</v>
      </c>
      <c r="L28" s="270"/>
      <c r="M28" s="270"/>
      <c r="N28" s="270"/>
      <c r="O28" s="331">
        <f>45+ 1/10^6</f>
        <v>45.000000999999997</v>
      </c>
      <c r="P28" s="333">
        <v>3.02</v>
      </c>
      <c r="Q28" s="332">
        <v>0.5</v>
      </c>
      <c r="R28" s="332">
        <f t="shared" si="0"/>
        <v>3.52</v>
      </c>
    </row>
    <row r="29" spans="1:20" s="209" customFormat="1" x14ac:dyDescent="0.2">
      <c r="A29" s="162"/>
      <c r="B29" s="188"/>
      <c r="C29" s="189"/>
      <c r="D29" s="190"/>
      <c r="E29" s="209" t="s">
        <v>288</v>
      </c>
      <c r="F29" s="274" t="s">
        <v>4</v>
      </c>
      <c r="G29" s="366">
        <v>4.4499999999999998E-2</v>
      </c>
      <c r="H29" s="271"/>
      <c r="I29" s="189"/>
      <c r="J29" s="273" t="s">
        <v>18</v>
      </c>
      <c r="K29" s="162"/>
      <c r="M29" s="323" t="s">
        <v>258</v>
      </c>
      <c r="O29" s="331">
        <f>50+ 1/10^6</f>
        <v>50.000000999999997</v>
      </c>
      <c r="P29" s="332">
        <v>6.64</v>
      </c>
      <c r="Q29" s="332">
        <v>0.5</v>
      </c>
      <c r="R29" s="332">
        <f t="shared" si="0"/>
        <v>7.14</v>
      </c>
    </row>
    <row r="30" spans="1:20" x14ac:dyDescent="0.2">
      <c r="E30" s="162" t="s">
        <v>288</v>
      </c>
      <c r="J30" s="268">
        <v>3</v>
      </c>
      <c r="M30" s="381" t="s">
        <v>307</v>
      </c>
    </row>
    <row r="31" spans="1:20" x14ac:dyDescent="0.2">
      <c r="J31" s="269"/>
      <c r="M31" s="381" t="s">
        <v>306</v>
      </c>
      <c r="O31" s="330" t="s">
        <v>267</v>
      </c>
      <c r="P31" s="330" t="s">
        <v>268</v>
      </c>
      <c r="Q31" s="330" t="s">
        <v>269</v>
      </c>
      <c r="R31" s="330" t="s">
        <v>270</v>
      </c>
    </row>
    <row r="32" spans="1:20" ht="25.5" x14ac:dyDescent="0.2">
      <c r="F32" s="274" t="s">
        <v>229</v>
      </c>
      <c r="G32" s="363">
        <f>IF(P15=1,98.7%,97.5%)</f>
        <v>0.98699999999999999</v>
      </c>
      <c r="J32" s="275" t="s">
        <v>206</v>
      </c>
      <c r="O32" s="334">
        <f ca="1">'Simulador CEF'!IW89</f>
        <v>311</v>
      </c>
      <c r="P32" s="335">
        <f ca="1">(O32+J30+2)/12</f>
        <v>26.333333333333332</v>
      </c>
      <c r="Q32" s="336">
        <f ca="1">VLOOKUP(P32,O23:R29,4,TRUE)/100</f>
        <v>2.0400000000000001E-2</v>
      </c>
      <c r="R32" s="334">
        <f ca="1">(J6*'Premissas e Calculos'!G12)*Q32</f>
        <v>30.110400000000002</v>
      </c>
    </row>
    <row r="33" spans="1:18" ht="51" customHeight="1" x14ac:dyDescent="0.2">
      <c r="J33" s="219"/>
      <c r="O33" s="1069" t="s">
        <v>271</v>
      </c>
      <c r="P33" s="1069"/>
      <c r="Q33" s="1069"/>
      <c r="R33" s="1069"/>
    </row>
    <row r="34" spans="1:18" s="209" customFormat="1" x14ac:dyDescent="0.2">
      <c r="A34" s="162"/>
      <c r="B34" s="188"/>
      <c r="C34" s="189"/>
      <c r="D34" s="190"/>
      <c r="E34" s="276"/>
      <c r="H34" s="271"/>
      <c r="I34" s="189"/>
      <c r="J34" s="252"/>
      <c r="K34" s="162"/>
      <c r="M34" s="162"/>
    </row>
    <row r="35" spans="1:18" ht="16.5" customHeight="1" x14ac:dyDescent="0.2">
      <c r="F35" s="274" t="s">
        <v>239</v>
      </c>
      <c r="G35" s="283">
        <v>0.3</v>
      </c>
      <c r="J35" s="269"/>
    </row>
    <row r="36" spans="1:18" x14ac:dyDescent="0.2">
      <c r="J36" s="269"/>
    </row>
    <row r="37" spans="1:18" x14ac:dyDescent="0.2">
      <c r="J37" s="269"/>
    </row>
    <row r="38" spans="1:18" x14ac:dyDescent="0.2">
      <c r="F38" s="324" t="s">
        <v>257</v>
      </c>
      <c r="G38" s="397">
        <f ca="1">EOMONTH(TODAY(),0)</f>
        <v>43830</v>
      </c>
      <c r="J38" s="269"/>
    </row>
    <row r="39" spans="1:18" s="209" customFormat="1" x14ac:dyDescent="0.2">
      <c r="A39" s="162"/>
      <c r="B39" s="188"/>
      <c r="C39" s="189"/>
      <c r="D39" s="190"/>
      <c r="H39" s="271"/>
      <c r="I39" s="189"/>
      <c r="J39" s="252"/>
      <c r="K39" s="162"/>
      <c r="M39" s="162"/>
    </row>
    <row r="40" spans="1:18" x14ac:dyDescent="0.2">
      <c r="J40" s="269"/>
    </row>
    <row r="41" spans="1:18" x14ac:dyDescent="0.2">
      <c r="J41" s="269"/>
    </row>
    <row r="42" spans="1:18" x14ac:dyDescent="0.2">
      <c r="J42" s="269"/>
    </row>
    <row r="43" spans="1:18" x14ac:dyDescent="0.2">
      <c r="J43" s="269"/>
    </row>
    <row r="44" spans="1:18" x14ac:dyDescent="0.2">
      <c r="E44" s="162" t="s">
        <v>288</v>
      </c>
      <c r="J44" s="269"/>
    </row>
    <row r="45" spans="1:18" x14ac:dyDescent="0.2">
      <c r="E45" s="162" t="s">
        <v>288</v>
      </c>
      <c r="J45" s="269"/>
    </row>
    <row r="46" spans="1:18" x14ac:dyDescent="0.2">
      <c r="J46" s="269"/>
    </row>
    <row r="47" spans="1:18" x14ac:dyDescent="0.2">
      <c r="J47" s="269"/>
    </row>
    <row r="48" spans="1:18" x14ac:dyDescent="0.2">
      <c r="J48" s="269"/>
    </row>
    <row r="49" spans="10:11" ht="13.5" thickBot="1" x14ac:dyDescent="0.25">
      <c r="J49" s="277"/>
    </row>
    <row r="58" spans="10:11" x14ac:dyDescent="0.2">
      <c r="K58" s="325"/>
    </row>
  </sheetData>
  <mergeCells count="14">
    <mergeCell ref="F25:F27"/>
    <mergeCell ref="B2:C2"/>
    <mergeCell ref="P8:Q9"/>
    <mergeCell ref="P3:Q3"/>
    <mergeCell ref="L2:Q2"/>
    <mergeCell ref="J15:J16"/>
    <mergeCell ref="L10:N10"/>
    <mergeCell ref="G25:G27"/>
    <mergeCell ref="S2:T2"/>
    <mergeCell ref="O33:R33"/>
    <mergeCell ref="L18:M18"/>
    <mergeCell ref="V3:W3"/>
    <mergeCell ref="J4:J5"/>
    <mergeCell ref="J7:J8"/>
  </mergeCells>
  <phoneticPr fontId="2" type="noConversion"/>
  <printOptions horizontalCentered="1"/>
  <pageMargins left="0.11811023622047245" right="0.11811023622047245" top="0.26" bottom="0.11811023622047245" header="0.11811023622047245" footer="3.937007874015748E-2"/>
  <pageSetup scale="83" orientation="landscape" r:id="rId1"/>
  <headerFooter alignWithMargins="0"/>
  <ignoredErrors>
    <ignoredError sqref="H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4" sqref="C4"/>
    </sheetView>
  </sheetViews>
  <sheetFormatPr defaultRowHeight="12.75" x14ac:dyDescent="0.2"/>
  <cols>
    <col min="3" max="3" width="10.140625" bestFit="1" customWidth="1"/>
  </cols>
  <sheetData>
    <row r="1" spans="1:3" x14ac:dyDescent="0.2">
      <c r="A1" s="346" t="s">
        <v>463</v>
      </c>
    </row>
    <row r="2" spans="1:3" x14ac:dyDescent="0.2">
      <c r="A2" s="346" t="s">
        <v>464</v>
      </c>
    </row>
    <row r="3" spans="1:3" x14ac:dyDescent="0.2">
      <c r="A3" s="346" t="s">
        <v>465</v>
      </c>
    </row>
    <row r="4" spans="1:3" x14ac:dyDescent="0.2">
      <c r="A4" s="346" t="s">
        <v>466</v>
      </c>
      <c r="C4" s="651">
        <v>44104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AA90"/>
  <sheetViews>
    <sheetView showGridLines="0" zoomScale="80" zoomScaleNormal="80" workbookViewId="0">
      <selection activeCell="E16" sqref="E16"/>
    </sheetView>
  </sheetViews>
  <sheetFormatPr defaultRowHeight="12.75" x14ac:dyDescent="0.2"/>
  <cols>
    <col min="1" max="1" width="2" style="511" customWidth="1"/>
    <col min="2" max="2" width="2.85546875" style="410" customWidth="1"/>
    <col min="3" max="3" width="7.7109375" style="410" customWidth="1"/>
    <col min="4" max="4" width="11.28515625" style="410" customWidth="1"/>
    <col min="5" max="5" width="9.5703125" style="410" bestFit="1" customWidth="1"/>
    <col min="6" max="6" width="10.140625" style="410" bestFit="1" customWidth="1"/>
    <col min="7" max="7" width="15.5703125" style="410" customWidth="1"/>
    <col min="8" max="13" width="15.7109375" style="410" customWidth="1"/>
    <col min="14" max="15" width="9.28515625" style="410" customWidth="1"/>
    <col min="16" max="16" width="20.7109375" style="410" bestFit="1" customWidth="1"/>
    <col min="17" max="17" width="13.5703125" style="410" bestFit="1" customWidth="1"/>
    <col min="18" max="18" width="12.85546875" style="410" bestFit="1" customWidth="1"/>
    <col min="19" max="19" width="22.85546875" style="410" bestFit="1" customWidth="1"/>
    <col min="20" max="16384" width="9.140625" style="410"/>
  </cols>
  <sheetData>
    <row r="1" spans="1:27" ht="15.75" x14ac:dyDescent="0.25">
      <c r="A1" s="410" t="s">
        <v>28</v>
      </c>
      <c r="E1" s="411" t="s">
        <v>29</v>
      </c>
      <c r="F1" s="412"/>
      <c r="G1" s="412"/>
      <c r="H1" s="412"/>
      <c r="I1" s="412"/>
      <c r="J1" s="412"/>
      <c r="K1" s="412"/>
      <c r="L1" s="412"/>
      <c r="M1" s="412"/>
    </row>
    <row r="2" spans="1:27" ht="15.75" x14ac:dyDescent="0.25">
      <c r="A2" s="410" t="s">
        <v>28</v>
      </c>
      <c r="E2" s="411" t="s">
        <v>30</v>
      </c>
      <c r="F2" s="412"/>
      <c r="G2" s="412"/>
      <c r="H2" s="412"/>
      <c r="I2" s="412"/>
      <c r="J2" s="412"/>
      <c r="K2" s="412"/>
      <c r="L2" s="412"/>
      <c r="M2" s="412"/>
    </row>
    <row r="3" spans="1:27" ht="15.75" x14ac:dyDescent="0.25">
      <c r="A3" s="410" t="s">
        <v>28</v>
      </c>
      <c r="L3" s="1130">
        <f ca="1">NOW()</f>
        <v>43802.627763310185</v>
      </c>
      <c r="M3" s="1130"/>
      <c r="N3" s="1125" t="s">
        <v>31</v>
      </c>
      <c r="O3" s="1125"/>
    </row>
    <row r="4" spans="1:27" ht="15.75" thickBot="1" x14ac:dyDescent="0.25">
      <c r="A4" s="410" t="s">
        <v>28</v>
      </c>
      <c r="L4" s="413"/>
      <c r="M4" s="413"/>
      <c r="N4" s="414"/>
      <c r="O4" s="414"/>
    </row>
    <row r="5" spans="1:27" ht="15.75" thickTop="1" x14ac:dyDescent="0.2">
      <c r="A5" s="410" t="s">
        <v>28</v>
      </c>
      <c r="E5" s="415" t="s">
        <v>32</v>
      </c>
      <c r="F5" s="416"/>
      <c r="G5" s="417" t="str">
        <f>'Simulador CEF'!G4:P4</f>
        <v>Exato Rio Grande</v>
      </c>
      <c r="H5" s="417"/>
      <c r="I5" s="418"/>
      <c r="J5" s="419" t="s">
        <v>33</v>
      </c>
      <c r="K5" s="416"/>
      <c r="L5" s="420" t="s">
        <v>34</v>
      </c>
      <c r="M5" s="421"/>
      <c r="N5" s="414"/>
      <c r="O5" s="414"/>
      <c r="Y5" s="410" t="s">
        <v>35</v>
      </c>
      <c r="Z5" s="410" t="s">
        <v>36</v>
      </c>
      <c r="AA5" s="410" t="s">
        <v>37</v>
      </c>
    </row>
    <row r="6" spans="1:27" ht="15" x14ac:dyDescent="0.2">
      <c r="A6" s="410" t="s">
        <v>28</v>
      </c>
      <c r="E6" s="422" t="s">
        <v>38</v>
      </c>
      <c r="F6" s="423"/>
      <c r="G6" s="423"/>
      <c r="H6" s="423"/>
      <c r="I6" s="424"/>
      <c r="J6" s="423" t="s">
        <v>39</v>
      </c>
      <c r="K6" s="423"/>
      <c r="L6" s="425"/>
      <c r="M6" s="426"/>
      <c r="N6" s="414"/>
      <c r="O6" s="414"/>
      <c r="Y6" s="410" t="s">
        <v>40</v>
      </c>
      <c r="Z6" s="410" t="s">
        <v>41</v>
      </c>
      <c r="AA6" s="410" t="s">
        <v>42</v>
      </c>
    </row>
    <row r="7" spans="1:27" ht="15" x14ac:dyDescent="0.2">
      <c r="A7" s="410" t="s">
        <v>28</v>
      </c>
      <c r="E7" s="422" t="s">
        <v>43</v>
      </c>
      <c r="F7" s="423"/>
      <c r="G7" s="427"/>
      <c r="H7" s="423"/>
      <c r="I7" s="424"/>
      <c r="J7" s="423" t="s">
        <v>44</v>
      </c>
      <c r="K7" s="423"/>
      <c r="L7" s="425"/>
      <c r="M7" s="426"/>
      <c r="N7" s="414"/>
      <c r="O7" s="414"/>
      <c r="Y7" s="410" t="s">
        <v>45</v>
      </c>
      <c r="AA7" s="410" t="s">
        <v>46</v>
      </c>
    </row>
    <row r="8" spans="1:27" ht="15.75" thickBot="1" x14ac:dyDescent="0.25">
      <c r="A8" s="410" t="s">
        <v>28</v>
      </c>
      <c r="E8" s="428"/>
      <c r="F8" s="429"/>
      <c r="G8" s="429"/>
      <c r="H8" s="429"/>
      <c r="I8" s="430"/>
      <c r="J8" s="431" t="s">
        <v>92</v>
      </c>
      <c r="K8" s="423"/>
      <c r="L8" s="425"/>
      <c r="M8" s="426"/>
      <c r="N8" s="414"/>
      <c r="O8" s="414"/>
      <c r="Y8" s="410" t="s">
        <v>47</v>
      </c>
      <c r="AA8" s="410" t="s">
        <v>48</v>
      </c>
    </row>
    <row r="9" spans="1:27" ht="16.5" thickTop="1" x14ac:dyDescent="0.25">
      <c r="A9" s="410" t="s">
        <v>28</v>
      </c>
      <c r="E9" s="422" t="s">
        <v>49</v>
      </c>
      <c r="F9" s="423"/>
      <c r="G9" s="601">
        <v>42767</v>
      </c>
      <c r="H9" s="415" t="s">
        <v>50</v>
      </c>
      <c r="I9" s="433">
        <v>0.09</v>
      </c>
      <c r="J9" s="415" t="s">
        <v>51</v>
      </c>
      <c r="K9" s="434">
        <f>G11</f>
        <v>44165</v>
      </c>
      <c r="L9" s="1131" t="s">
        <v>93</v>
      </c>
      <c r="M9" s="1132"/>
      <c r="Y9" s="410" t="s">
        <v>52</v>
      </c>
    </row>
    <row r="10" spans="1:27" ht="15" x14ac:dyDescent="0.2">
      <c r="A10" s="410" t="s">
        <v>28</v>
      </c>
      <c r="E10" s="422" t="s">
        <v>53</v>
      </c>
      <c r="F10" s="423"/>
      <c r="G10" s="432">
        <f ca="1">'Simulador CEF'!I12</f>
        <v>43802</v>
      </c>
      <c r="H10" s="422" t="s">
        <v>54</v>
      </c>
      <c r="I10" s="435">
        <v>0.12</v>
      </c>
      <c r="J10" s="422" t="s">
        <v>55</v>
      </c>
      <c r="K10" s="436">
        <f>G11</f>
        <v>44165</v>
      </c>
      <c r="L10" s="437"/>
      <c r="M10" s="438"/>
    </row>
    <row r="11" spans="1:27" ht="15.75" thickBot="1" x14ac:dyDescent="0.25">
      <c r="A11" s="410" t="s">
        <v>28</v>
      </c>
      <c r="E11" s="428" t="s">
        <v>56</v>
      </c>
      <c r="F11" s="429"/>
      <c r="G11" s="439">
        <f>'Simulador CEF'!S10</f>
        <v>44165</v>
      </c>
      <c r="H11" s="440" t="s">
        <v>57</v>
      </c>
      <c r="I11" s="441">
        <f>+J36</f>
        <v>220240</v>
      </c>
      <c r="J11" s="428"/>
      <c r="K11" s="430"/>
      <c r="L11" s="442"/>
      <c r="M11" s="443"/>
    </row>
    <row r="12" spans="1:27" ht="13.5" thickTop="1" x14ac:dyDescent="0.2">
      <c r="A12" s="410" t="s">
        <v>28</v>
      </c>
      <c r="E12" s="444"/>
      <c r="F12" s="445"/>
      <c r="H12" s="446"/>
      <c r="I12" s="447"/>
    </row>
    <row r="13" spans="1:27" ht="16.5" thickBot="1" x14ac:dyDescent="0.3">
      <c r="A13" s="410" t="s">
        <v>28</v>
      </c>
      <c r="E13" s="411" t="s">
        <v>58</v>
      </c>
      <c r="F13" s="412"/>
      <c r="G13" s="412"/>
      <c r="H13" s="412"/>
      <c r="I13" s="412"/>
      <c r="J13" s="412"/>
      <c r="K13" s="412"/>
      <c r="L13" s="412"/>
      <c r="M13" s="412"/>
    </row>
    <row r="14" spans="1:27" ht="13.5" thickTop="1" x14ac:dyDescent="0.2">
      <c r="A14" s="410" t="s">
        <v>28</v>
      </c>
      <c r="E14" s="1097" t="s">
        <v>59</v>
      </c>
      <c r="F14" s="1097" t="s">
        <v>60</v>
      </c>
      <c r="G14" s="1097"/>
      <c r="H14" s="448" t="s">
        <v>61</v>
      </c>
      <c r="I14" s="1119" t="s">
        <v>62</v>
      </c>
      <c r="J14" s="1119"/>
      <c r="K14" s="1119" t="s">
        <v>63</v>
      </c>
      <c r="L14" s="1119"/>
      <c r="M14" s="1097" t="s">
        <v>64</v>
      </c>
    </row>
    <row r="15" spans="1:27" x14ac:dyDescent="0.2">
      <c r="A15" s="410" t="s">
        <v>28</v>
      </c>
      <c r="E15" s="1098"/>
      <c r="F15" s="1098"/>
      <c r="G15" s="1098"/>
      <c r="H15" s="449" t="s">
        <v>65</v>
      </c>
      <c r="I15" s="449" t="s">
        <v>66</v>
      </c>
      <c r="J15" s="449" t="s">
        <v>20</v>
      </c>
      <c r="K15" s="449" t="s">
        <v>66</v>
      </c>
      <c r="L15" s="449" t="s">
        <v>20</v>
      </c>
      <c r="M15" s="1098"/>
    </row>
    <row r="16" spans="1:27" x14ac:dyDescent="0.2">
      <c r="A16" s="410" t="str">
        <f t="shared" ref="A16:A36" si="0">IF(E16="","",IF(E16=0,"","*"))</f>
        <v>*</v>
      </c>
      <c r="B16" s="410" t="str">
        <f ca="1">IF(H16&lt;=$E$83,"A","B")</f>
        <v>A</v>
      </c>
      <c r="C16" s="446">
        <f>13589.79/388279.75</f>
        <v>3.4999996780671672E-2</v>
      </c>
      <c r="D16" s="450">
        <f t="shared" ref="D16:D35" si="1">IF(F16="Chaves",((1+$I$9)^(1/12)-1),IF(F16="Anual",$I$9,IF(F16="Semestral",((1+$I$9)^(1/2)-1),IF(F16="Mensal",((1+$I$9)^(1/12)-1),IF(F16="Sinal",0)))))</f>
        <v>0</v>
      </c>
      <c r="E16" s="451">
        <f>'Simulador CEF'!J42</f>
        <v>1</v>
      </c>
      <c r="F16" s="452" t="s">
        <v>52</v>
      </c>
      <c r="G16" s="453" t="s">
        <v>36</v>
      </c>
      <c r="H16" s="454">
        <f ca="1">'Simulador CEF'!G42</f>
        <v>43802</v>
      </c>
      <c r="I16" s="455">
        <f>'Simulador CEF'!M42</f>
        <v>3303.6</v>
      </c>
      <c r="J16" s="456">
        <f t="shared" ref="J16:J33" si="2">I16*E16</f>
        <v>3303.6</v>
      </c>
      <c r="K16" s="456">
        <f ca="1">IF(H16&lt;=$E$83,I16,   -PMT(D16,E16, (-FV(((1+$I$9)^(1/12)-1),( VLOOKUP(H16,Mês,2) ),,M16)),,1)       )</f>
        <v>3303.6</v>
      </c>
      <c r="L16" s="456">
        <f t="shared" ref="L16:L33" ca="1" si="3">K16*E16</f>
        <v>3303.6</v>
      </c>
      <c r="M16" s="456">
        <f t="shared" ref="M16:M35" ca="1" si="4">IF(E16="",0,IF(H16&lt;=$E$83,-PV(((1+$I$9)^(1/12)-1),( VLOOKUP(H16,Mês,2) ),,(-PV((IF(F16="Anual",$I$9,IF(F16="Semestral",((1+$I$9)^(1/2)-1),((1+$I$9)^(1/12)-1)))),E16,I16,,1)),1),-PV(((1+$I$9)^(1/12)-1),( VLOOKUP($E$83,Mês,2) ),,J16,1)))</f>
        <v>3303.6</v>
      </c>
      <c r="N16" s="447"/>
    </row>
    <row r="17" spans="1:16" x14ac:dyDescent="0.2">
      <c r="A17" s="410" t="str">
        <f>IF(E19="","",IF(E19=0,"","*"))</f>
        <v>*</v>
      </c>
      <c r="B17" s="410" t="str">
        <f t="shared" ref="B17:B35" ca="1" si="5">IF(H17&lt;=$E$83,"A","B")</f>
        <v>A</v>
      </c>
      <c r="C17" s="446">
        <f>8736.29/388279.75</f>
        <v>2.2499988732350838E-2</v>
      </c>
      <c r="D17" s="450">
        <f t="shared" si="1"/>
        <v>7.2073233161367156E-3</v>
      </c>
      <c r="E17" s="451">
        <f>'Simulador CEF'!J44</f>
        <v>1</v>
      </c>
      <c r="F17" s="452" t="s">
        <v>45</v>
      </c>
      <c r="G17" s="453" t="s">
        <v>36</v>
      </c>
      <c r="H17" s="454">
        <f ca="1">'Simulador CEF'!G44</f>
        <v>43833</v>
      </c>
      <c r="I17" s="455">
        <f>'Simulador CEF'!M44</f>
        <v>3303.6</v>
      </c>
      <c r="J17" s="456">
        <f t="shared" ref="J17:J23" si="6">I17*E17</f>
        <v>3303.6</v>
      </c>
      <c r="K17" s="456">
        <f ca="1">IF(H17&lt;=$E$83,I17,   -PMT(D17,E17, (-FV(((1+$I$9)^(1/12)-1),( VLOOKUP(H17,Mês,2) ),,M17)),,1)       )</f>
        <v>3303.6</v>
      </c>
      <c r="L17" s="456">
        <f t="shared" ref="L17:L23" ca="1" si="7">K17*E17</f>
        <v>3303.6</v>
      </c>
      <c r="M17" s="456">
        <f t="shared" ca="1" si="4"/>
        <v>3279.96026589958</v>
      </c>
      <c r="N17" s="447"/>
    </row>
    <row r="18" spans="1:16" x14ac:dyDescent="0.2">
      <c r="A18" s="410" t="str">
        <f>IF(E20="","",IF(E20=0,"","*"))</f>
        <v/>
      </c>
      <c r="B18" s="410" t="str">
        <f t="shared" ca="1" si="5"/>
        <v>A</v>
      </c>
      <c r="C18" s="446">
        <f>8736.29/388279.75</f>
        <v>2.2499988732350838E-2</v>
      </c>
      <c r="D18" s="450">
        <f t="shared" si="1"/>
        <v>7.2073233161367156E-3</v>
      </c>
      <c r="E18" s="451">
        <f>'Simulador CEF'!J46</f>
        <v>2</v>
      </c>
      <c r="F18" s="452" t="s">
        <v>45</v>
      </c>
      <c r="G18" s="453" t="s">
        <v>41</v>
      </c>
      <c r="H18" s="454">
        <f ca="1">'Simulador CEF'!G46</f>
        <v>43864</v>
      </c>
      <c r="I18" s="455">
        <f>'Simulador CEF'!M46</f>
        <v>2202.4</v>
      </c>
      <c r="J18" s="456">
        <f t="shared" si="6"/>
        <v>4404.8</v>
      </c>
      <c r="K18" s="456">
        <f ca="1">IF(H18&lt;=$E$83,I18,   -PMT(D18,E18, (-FV(((1+$I$9)^(1/12)-1),( VLOOKUP(H18,Mês,2) ),,M18)),,1)       )</f>
        <v>2202.4</v>
      </c>
      <c r="L18" s="456">
        <f t="shared" ca="1" si="7"/>
        <v>4404.8</v>
      </c>
      <c r="M18" s="456">
        <f ca="1">IF(E18="",0,IF(H18&lt;=$E$83,-PV(((1+$I$9)^(1/12)-1),( VLOOKUP(H18,Mês,2) ),,(-PV((IF(F18="Anual",$I$9,IF(F18="Semestral",((1+$I$9)^(1/2)-1),((1+$I$9)^(1/12)-1)))),E18,I18,,1)),1),-PV(((1+$I$9)^(1/12)-1),( VLOOKUP($E$83,Mês,2) ),,J18,1)))</f>
        <v>4326.4511727296922</v>
      </c>
      <c r="N18" s="447"/>
    </row>
    <row r="19" spans="1:16" x14ac:dyDescent="0.2">
      <c r="A19" s="410" t="str">
        <f>IF(E21="","",IF(E21=0,"","*"))</f>
        <v>*</v>
      </c>
      <c r="B19" s="410" t="str">
        <f t="shared" ca="1" si="5"/>
        <v>B</v>
      </c>
      <c r="C19" s="446">
        <f>1698.72/388279.75</f>
        <v>4.3749899395989621E-3</v>
      </c>
      <c r="D19" s="450">
        <f t="shared" si="1"/>
        <v>0.09</v>
      </c>
      <c r="E19" s="451">
        <f>'Simulador CEF'!J48</f>
        <v>2</v>
      </c>
      <c r="F19" s="452" t="s">
        <v>35</v>
      </c>
      <c r="G19" s="453" t="s">
        <v>41</v>
      </c>
      <c r="H19" s="454">
        <f ca="1">'Simulador CEF'!G48</f>
        <v>44168</v>
      </c>
      <c r="I19" s="455">
        <f>'Simulador CEF'!M48</f>
        <v>4459.8600000000006</v>
      </c>
      <c r="J19" s="456">
        <f t="shared" si="6"/>
        <v>8919.7200000000012</v>
      </c>
      <c r="K19" s="456">
        <f ca="1">IF(H19&lt;=$E$83,I19,   -PMT(D17,E19, (-FV(((1+$I$9)^(1/12)-1),( VLOOKUP(H19,Mês,2) ),,M19)),,1)       )</f>
        <v>4508.1331889065641</v>
      </c>
      <c r="L19" s="456">
        <f t="shared" ca="1" si="7"/>
        <v>9016.2663778131282</v>
      </c>
      <c r="M19" s="456">
        <f t="shared" ca="1" si="4"/>
        <v>8242.2085375499246</v>
      </c>
      <c r="N19" s="447"/>
    </row>
    <row r="20" spans="1:16" x14ac:dyDescent="0.2">
      <c r="A20" s="410" t="str">
        <f>IF(E22="","",IF(E22=0,"","*"))</f>
        <v>*</v>
      </c>
      <c r="B20" s="410" t="str">
        <f t="shared" ca="1" si="5"/>
        <v>A</v>
      </c>
      <c r="C20" s="446">
        <f>11648.39/388279.75</f>
        <v>2.9999993561343336E-2</v>
      </c>
      <c r="D20" s="450">
        <f t="shared" si="1"/>
        <v>7.2073233161367156E-3</v>
      </c>
      <c r="E20" s="451">
        <f>'Simulador CEF'!J50</f>
        <v>0</v>
      </c>
      <c r="F20" s="452" t="s">
        <v>45</v>
      </c>
      <c r="G20" s="453" t="s">
        <v>41</v>
      </c>
      <c r="H20" s="454">
        <f ca="1">'Simulador CEF'!G50</f>
        <v>43802</v>
      </c>
      <c r="I20" s="455">
        <f>'Simulador CEF'!M50</f>
        <v>0</v>
      </c>
      <c r="J20" s="456">
        <f t="shared" si="6"/>
        <v>0</v>
      </c>
      <c r="K20" s="456">
        <f ca="1">IF(H20&lt;=$E$83,I20,   -PMT(D18,E20, (-FV(((1+$I$9)^(1/12)-1),( VLOOKUP(H20,Mês,2) ),,M20)),,1)       )</f>
        <v>0</v>
      </c>
      <c r="L20" s="456">
        <f t="shared" ca="1" si="7"/>
        <v>0</v>
      </c>
      <c r="M20" s="456">
        <f t="shared" ca="1" si="4"/>
        <v>0</v>
      </c>
      <c r="N20" s="447"/>
    </row>
    <row r="21" spans="1:16" x14ac:dyDescent="0.2">
      <c r="A21" s="410" t="str">
        <f>IF(E23="","",IF(E23=0,"","*"))</f>
        <v>*</v>
      </c>
      <c r="B21" s="410" t="str">
        <f t="shared" ca="1" si="5"/>
        <v>A</v>
      </c>
      <c r="C21" s="446">
        <f>38827.96/388279.75</f>
        <v>9.9999961368060011E-2</v>
      </c>
      <c r="D21" s="450">
        <f t="shared" si="1"/>
        <v>7.2073233161367156E-3</v>
      </c>
      <c r="E21" s="451">
        <f>'Simulador CEF'!J52</f>
        <v>8</v>
      </c>
      <c r="F21" s="452" t="s">
        <v>45</v>
      </c>
      <c r="G21" s="453" t="s">
        <v>41</v>
      </c>
      <c r="H21" s="454">
        <f ca="1">'Simulador CEF'!G52</f>
        <v>43893</v>
      </c>
      <c r="I21" s="455">
        <f>'Simulador CEF'!M52</f>
        <v>3000.77</v>
      </c>
      <c r="J21" s="456">
        <f t="shared" si="6"/>
        <v>24006.16</v>
      </c>
      <c r="K21" s="456">
        <f ca="1">IF(H21&lt;=$E$83,I21,   -PMT(D19,E21, (-FV(((1+$I$9)^(1/12)-1),( VLOOKUP(H21,Mês,2) ),,M21)),,1)       )</f>
        <v>3000.77</v>
      </c>
      <c r="L21" s="456">
        <f t="shared" ca="1" si="7"/>
        <v>24006.16</v>
      </c>
      <c r="M21" s="456">
        <f t="shared" ca="1" si="4"/>
        <v>22914.416534667685</v>
      </c>
      <c r="N21" s="447"/>
    </row>
    <row r="22" spans="1:16" x14ac:dyDescent="0.2">
      <c r="A22" s="410" t="e">
        <f>IF(#REF!="","",IF(#REF!=0,"","*"))</f>
        <v>#REF!</v>
      </c>
      <c r="B22" s="410" t="str">
        <f t="shared" ca="1" si="5"/>
        <v>B</v>
      </c>
      <c r="C22" s="446">
        <f>1764.91/388279.75</f>
        <v>4.5454598134463623E-3</v>
      </c>
      <c r="D22" s="450">
        <f t="shared" si="1"/>
        <v>7.2073233161367156E-3</v>
      </c>
      <c r="E22" s="451">
        <f>'Simulador CEF'!J54</f>
        <v>1</v>
      </c>
      <c r="F22" s="452" t="s">
        <v>40</v>
      </c>
      <c r="G22" s="453" t="s">
        <v>41</v>
      </c>
      <c r="H22" s="454">
        <f ca="1">'Simulador CEF'!G54</f>
        <v>44898</v>
      </c>
      <c r="I22" s="455">
        <f>'Simulador CEF'!M54</f>
        <v>110.12</v>
      </c>
      <c r="J22" s="456">
        <f t="shared" si="6"/>
        <v>110.12</v>
      </c>
      <c r="K22" s="456">
        <f ca="1">IF(H22&lt;=$E$83,I22,   -PMT(D20,E22, (-FV(((1+$I$9)^(1/12)-1),( VLOOKUP(H22,Mês,2) ),,M22)),,1)       )</f>
        <v>131.77653185400897</v>
      </c>
      <c r="L22" s="456">
        <f t="shared" ca="1" si="7"/>
        <v>131.77653185400897</v>
      </c>
      <c r="M22" s="456">
        <f t="shared" ca="1" si="4"/>
        <v>101.75566095740646</v>
      </c>
      <c r="N22" s="457"/>
    </row>
    <row r="23" spans="1:16" x14ac:dyDescent="0.2">
      <c r="A23" s="410" t="e">
        <f>IF(#REF!="","",IF(#REF!=0,"","*"))</f>
        <v>#REF!</v>
      </c>
      <c r="B23" s="410" t="str">
        <f t="shared" ca="1" si="5"/>
        <v>A</v>
      </c>
      <c r="C23" s="446">
        <f>10677.69/388279.75</f>
        <v>2.7499991951679171E-2</v>
      </c>
      <c r="D23" s="450">
        <f t="shared" si="1"/>
        <v>7.2073233161367156E-3</v>
      </c>
      <c r="E23" s="451">
        <f>'Simulador CEF'!J56</f>
        <v>1</v>
      </c>
      <c r="F23" s="452" t="s">
        <v>40</v>
      </c>
      <c r="G23" s="453" t="s">
        <v>41</v>
      </c>
      <c r="H23" s="454">
        <f ca="1">'Simulador CEF'!G56</f>
        <v>43893</v>
      </c>
      <c r="I23" s="455">
        <f>'Simulador CEF'!M56</f>
        <v>176192</v>
      </c>
      <c r="J23" s="456">
        <f t="shared" si="6"/>
        <v>176192</v>
      </c>
      <c r="K23" s="456">
        <f ca="1">IF(H23&lt;=$E$83,I23,   -PMT(D21,E23, (-FV(((1+$I$9)^(1/12)-1),( VLOOKUP(H23,Mês,2) ),,M23)),,1)       )</f>
        <v>176192</v>
      </c>
      <c r="L23" s="456">
        <f t="shared" ca="1" si="7"/>
        <v>176192</v>
      </c>
      <c r="M23" s="456">
        <f t="shared" ca="1" si="4"/>
        <v>172436.64358824361</v>
      </c>
      <c r="N23" s="457"/>
      <c r="O23" s="458" t="s">
        <v>67</v>
      </c>
    </row>
    <row r="24" spans="1:16" x14ac:dyDescent="0.2">
      <c r="A24" s="410" t="str">
        <f t="shared" si="0"/>
        <v/>
      </c>
      <c r="B24" s="410" t="str">
        <f t="shared" si="5"/>
        <v>A</v>
      </c>
      <c r="C24" s="446">
        <f t="shared" ref="C24:C35" si="8">0/388279.75</f>
        <v>0</v>
      </c>
      <c r="D24" s="450" t="b">
        <f t="shared" si="1"/>
        <v>0</v>
      </c>
      <c r="E24" s="452"/>
      <c r="F24" s="452"/>
      <c r="G24" s="453"/>
      <c r="H24" s="453"/>
      <c r="I24" s="459"/>
      <c r="J24" s="459">
        <f t="shared" si="2"/>
        <v>0</v>
      </c>
      <c r="K24" s="456">
        <f t="shared" ref="K24:K35" si="9">IF(H24&lt;=$E$83,I24,   -PMT(D24,E24, (-FV(((1+$I$9)^(1/12)-1),( VLOOKUP(H24,Mês,2) ),,M24)),,1)       )</f>
        <v>0</v>
      </c>
      <c r="L24" s="456">
        <f t="shared" si="3"/>
        <v>0</v>
      </c>
      <c r="M24" s="456">
        <f t="shared" si="4"/>
        <v>0</v>
      </c>
      <c r="N24" s="457"/>
      <c r="O24" s="460"/>
      <c r="P24" s="460"/>
    </row>
    <row r="25" spans="1:16" x14ac:dyDescent="0.2">
      <c r="A25" s="410" t="str">
        <f t="shared" si="0"/>
        <v/>
      </c>
      <c r="B25" s="410" t="str">
        <f t="shared" si="5"/>
        <v>A</v>
      </c>
      <c r="C25" s="446">
        <f t="shared" si="8"/>
        <v>0</v>
      </c>
      <c r="D25" s="450" t="b">
        <f t="shared" si="1"/>
        <v>0</v>
      </c>
      <c r="E25" s="452"/>
      <c r="F25" s="452"/>
      <c r="G25" s="453"/>
      <c r="H25" s="453"/>
      <c r="I25" s="459"/>
      <c r="J25" s="459">
        <f t="shared" si="2"/>
        <v>0</v>
      </c>
      <c r="K25" s="456">
        <f t="shared" si="9"/>
        <v>0</v>
      </c>
      <c r="L25" s="456">
        <f t="shared" si="3"/>
        <v>0</v>
      </c>
      <c r="M25" s="456">
        <f t="shared" si="4"/>
        <v>0</v>
      </c>
      <c r="N25" s="457"/>
      <c r="O25" s="460"/>
      <c r="P25" s="460"/>
    </row>
    <row r="26" spans="1:16" x14ac:dyDescent="0.2">
      <c r="A26" s="410" t="str">
        <f t="shared" si="0"/>
        <v/>
      </c>
      <c r="B26" s="410" t="str">
        <f t="shared" si="5"/>
        <v>A</v>
      </c>
      <c r="C26" s="446">
        <f t="shared" si="8"/>
        <v>0</v>
      </c>
      <c r="D26" s="450" t="b">
        <f t="shared" si="1"/>
        <v>0</v>
      </c>
      <c r="E26" s="452"/>
      <c r="F26" s="452"/>
      <c r="G26" s="453"/>
      <c r="H26" s="453"/>
      <c r="I26" s="459"/>
      <c r="J26" s="459">
        <f t="shared" si="2"/>
        <v>0</v>
      </c>
      <c r="K26" s="456">
        <f t="shared" si="9"/>
        <v>0</v>
      </c>
      <c r="L26" s="456">
        <f t="shared" si="3"/>
        <v>0</v>
      </c>
      <c r="M26" s="456">
        <f t="shared" si="4"/>
        <v>0</v>
      </c>
      <c r="N26" s="457"/>
      <c r="O26" s="460"/>
      <c r="P26" s="460"/>
    </row>
    <row r="27" spans="1:16" x14ac:dyDescent="0.2">
      <c r="A27" s="410" t="str">
        <f t="shared" si="0"/>
        <v/>
      </c>
      <c r="B27" s="410" t="str">
        <f t="shared" si="5"/>
        <v>A</v>
      </c>
      <c r="C27" s="446">
        <f t="shared" si="8"/>
        <v>0</v>
      </c>
      <c r="D27" s="450" t="b">
        <f t="shared" si="1"/>
        <v>0</v>
      </c>
      <c r="E27" s="452"/>
      <c r="F27" s="452"/>
      <c r="G27" s="453"/>
      <c r="H27" s="453"/>
      <c r="I27" s="459"/>
      <c r="J27" s="459">
        <f t="shared" si="2"/>
        <v>0</v>
      </c>
      <c r="K27" s="456">
        <f t="shared" si="9"/>
        <v>0</v>
      </c>
      <c r="L27" s="456">
        <f t="shared" si="3"/>
        <v>0</v>
      </c>
      <c r="M27" s="456">
        <f t="shared" si="4"/>
        <v>0</v>
      </c>
      <c r="N27" s="457"/>
      <c r="O27" s="460"/>
      <c r="P27" s="460"/>
    </row>
    <row r="28" spans="1:16" x14ac:dyDescent="0.2">
      <c r="A28" s="410" t="str">
        <f t="shared" si="0"/>
        <v/>
      </c>
      <c r="B28" s="410" t="str">
        <f t="shared" si="5"/>
        <v>A</v>
      </c>
      <c r="C28" s="446">
        <f t="shared" si="8"/>
        <v>0</v>
      </c>
      <c r="D28" s="450" t="b">
        <f t="shared" si="1"/>
        <v>0</v>
      </c>
      <c r="E28" s="452"/>
      <c r="F28" s="452"/>
      <c r="G28" s="453"/>
      <c r="H28" s="453"/>
      <c r="I28" s="459"/>
      <c r="J28" s="459">
        <f t="shared" si="2"/>
        <v>0</v>
      </c>
      <c r="K28" s="456">
        <f t="shared" si="9"/>
        <v>0</v>
      </c>
      <c r="L28" s="456">
        <f t="shared" si="3"/>
        <v>0</v>
      </c>
      <c r="M28" s="456">
        <f t="shared" si="4"/>
        <v>0</v>
      </c>
      <c r="N28" s="457"/>
    </row>
    <row r="29" spans="1:16" x14ac:dyDescent="0.2">
      <c r="A29" s="410" t="str">
        <f t="shared" si="0"/>
        <v/>
      </c>
      <c r="B29" s="410" t="str">
        <f t="shared" si="5"/>
        <v>A</v>
      </c>
      <c r="C29" s="446">
        <f t="shared" si="8"/>
        <v>0</v>
      </c>
      <c r="D29" s="450" t="b">
        <f t="shared" si="1"/>
        <v>0</v>
      </c>
      <c r="E29" s="452"/>
      <c r="F29" s="452"/>
      <c r="G29" s="453"/>
      <c r="H29" s="453"/>
      <c r="I29" s="459"/>
      <c r="J29" s="459">
        <f t="shared" si="2"/>
        <v>0</v>
      </c>
      <c r="K29" s="456">
        <f t="shared" si="9"/>
        <v>0</v>
      </c>
      <c r="L29" s="456">
        <f t="shared" si="3"/>
        <v>0</v>
      </c>
      <c r="M29" s="456">
        <f t="shared" si="4"/>
        <v>0</v>
      </c>
      <c r="N29" s="457"/>
    </row>
    <row r="30" spans="1:16" x14ac:dyDescent="0.2">
      <c r="A30" s="410" t="str">
        <f t="shared" si="0"/>
        <v/>
      </c>
      <c r="B30" s="410" t="str">
        <f t="shared" si="5"/>
        <v>A</v>
      </c>
      <c r="C30" s="446">
        <f t="shared" si="8"/>
        <v>0</v>
      </c>
      <c r="D30" s="450" t="b">
        <f t="shared" si="1"/>
        <v>0</v>
      </c>
      <c r="E30" s="452"/>
      <c r="F30" s="452"/>
      <c r="G30" s="453"/>
      <c r="H30" s="453"/>
      <c r="I30" s="459"/>
      <c r="J30" s="459">
        <f t="shared" si="2"/>
        <v>0</v>
      </c>
      <c r="K30" s="456">
        <f t="shared" si="9"/>
        <v>0</v>
      </c>
      <c r="L30" s="456">
        <f t="shared" si="3"/>
        <v>0</v>
      </c>
      <c r="M30" s="456">
        <f t="shared" si="4"/>
        <v>0</v>
      </c>
      <c r="N30" s="457"/>
    </row>
    <row r="31" spans="1:16" x14ac:dyDescent="0.2">
      <c r="A31" s="410" t="str">
        <f t="shared" si="0"/>
        <v/>
      </c>
      <c r="B31" s="410" t="str">
        <f t="shared" si="5"/>
        <v>A</v>
      </c>
      <c r="C31" s="446">
        <f t="shared" si="8"/>
        <v>0</v>
      </c>
      <c r="D31" s="450" t="b">
        <f t="shared" si="1"/>
        <v>0</v>
      </c>
      <c r="E31" s="452"/>
      <c r="F31" s="452"/>
      <c r="G31" s="453"/>
      <c r="H31" s="453"/>
      <c r="I31" s="459"/>
      <c r="J31" s="459">
        <f t="shared" si="2"/>
        <v>0</v>
      </c>
      <c r="K31" s="456">
        <f t="shared" si="9"/>
        <v>0</v>
      </c>
      <c r="L31" s="456">
        <f t="shared" si="3"/>
        <v>0</v>
      </c>
      <c r="M31" s="456">
        <f t="shared" si="4"/>
        <v>0</v>
      </c>
      <c r="N31" s="457"/>
    </row>
    <row r="32" spans="1:16" x14ac:dyDescent="0.2">
      <c r="A32" s="410" t="str">
        <f t="shared" si="0"/>
        <v/>
      </c>
      <c r="B32" s="410" t="str">
        <f t="shared" si="5"/>
        <v>A</v>
      </c>
      <c r="C32" s="446">
        <f t="shared" si="8"/>
        <v>0</v>
      </c>
      <c r="D32" s="450" t="b">
        <f t="shared" si="1"/>
        <v>0</v>
      </c>
      <c r="E32" s="452"/>
      <c r="F32" s="452"/>
      <c r="G32" s="453"/>
      <c r="H32" s="453"/>
      <c r="I32" s="459"/>
      <c r="J32" s="459">
        <f t="shared" si="2"/>
        <v>0</v>
      </c>
      <c r="K32" s="456">
        <f t="shared" si="9"/>
        <v>0</v>
      </c>
      <c r="L32" s="456">
        <f t="shared" si="3"/>
        <v>0</v>
      </c>
      <c r="M32" s="456">
        <f t="shared" si="4"/>
        <v>0</v>
      </c>
      <c r="N32" s="457"/>
    </row>
    <row r="33" spans="1:19" x14ac:dyDescent="0.2">
      <c r="A33" s="410" t="str">
        <f t="shared" si="0"/>
        <v/>
      </c>
      <c r="B33" s="410" t="str">
        <f t="shared" si="5"/>
        <v>A</v>
      </c>
      <c r="C33" s="446">
        <f t="shared" si="8"/>
        <v>0</v>
      </c>
      <c r="D33" s="450" t="b">
        <f t="shared" si="1"/>
        <v>0</v>
      </c>
      <c r="E33" s="452"/>
      <c r="F33" s="452"/>
      <c r="G33" s="453"/>
      <c r="H33" s="453"/>
      <c r="I33" s="459"/>
      <c r="J33" s="459">
        <f t="shared" si="2"/>
        <v>0</v>
      </c>
      <c r="K33" s="456">
        <f t="shared" si="9"/>
        <v>0</v>
      </c>
      <c r="L33" s="456">
        <f t="shared" si="3"/>
        <v>0</v>
      </c>
      <c r="M33" s="456">
        <f t="shared" si="4"/>
        <v>0</v>
      </c>
      <c r="N33" s="457"/>
    </row>
    <row r="34" spans="1:19" x14ac:dyDescent="0.2">
      <c r="A34" s="410" t="str">
        <f t="shared" si="0"/>
        <v/>
      </c>
      <c r="B34" s="410" t="str">
        <f t="shared" si="5"/>
        <v>A</v>
      </c>
      <c r="C34" s="446">
        <f t="shared" si="8"/>
        <v>0</v>
      </c>
      <c r="D34" s="450" t="b">
        <f t="shared" si="1"/>
        <v>0</v>
      </c>
      <c r="E34" s="452"/>
      <c r="F34" s="452"/>
      <c r="G34" s="453"/>
      <c r="H34" s="453"/>
      <c r="I34" s="459"/>
      <c r="J34" s="459">
        <f>I34*E34</f>
        <v>0</v>
      </c>
      <c r="K34" s="456">
        <f t="shared" si="9"/>
        <v>0</v>
      </c>
      <c r="L34" s="456">
        <f>K34*E34</f>
        <v>0</v>
      </c>
      <c r="M34" s="456">
        <f t="shared" si="4"/>
        <v>0</v>
      </c>
      <c r="N34" s="457"/>
    </row>
    <row r="35" spans="1:19" x14ac:dyDescent="0.2">
      <c r="A35" s="410" t="str">
        <f t="shared" si="0"/>
        <v/>
      </c>
      <c r="B35" s="410" t="str">
        <f t="shared" si="5"/>
        <v>A</v>
      </c>
      <c r="C35" s="446">
        <f t="shared" si="8"/>
        <v>0</v>
      </c>
      <c r="D35" s="450" t="b">
        <f t="shared" si="1"/>
        <v>0</v>
      </c>
      <c r="E35" s="452"/>
      <c r="F35" s="452"/>
      <c r="G35" s="453"/>
      <c r="H35" s="453"/>
      <c r="I35" s="459"/>
      <c r="J35" s="459">
        <f>I35*E35</f>
        <v>0</v>
      </c>
      <c r="K35" s="456">
        <f t="shared" si="9"/>
        <v>0</v>
      </c>
      <c r="L35" s="456">
        <f>K35*E35</f>
        <v>0</v>
      </c>
      <c r="M35" s="456">
        <f t="shared" si="4"/>
        <v>0</v>
      </c>
      <c r="N35" s="457"/>
    </row>
    <row r="36" spans="1:19" ht="13.5" thickBot="1" x14ac:dyDescent="0.25">
      <c r="A36" s="410" t="str">
        <f t="shared" si="0"/>
        <v>*</v>
      </c>
      <c r="E36" s="1116" t="s">
        <v>68</v>
      </c>
      <c r="F36" s="1117"/>
      <c r="G36" s="1117"/>
      <c r="H36" s="1118"/>
      <c r="I36" s="461"/>
      <c r="J36" s="462">
        <f>SUM(J16:J34)</f>
        <v>220240</v>
      </c>
      <c r="K36" s="461"/>
      <c r="L36" s="463">
        <f ca="1">SUM(L16:L34)</f>
        <v>220358.20290966713</v>
      </c>
      <c r="M36" s="464">
        <f ca="1">SUM(M16:M34)</f>
        <v>214605.0357600479</v>
      </c>
      <c r="O36" s="465"/>
      <c r="P36" s="410">
        <f ca="1">J36/J63</f>
        <v>1.0023447289445664</v>
      </c>
    </row>
    <row r="37" spans="1:19" ht="13.5" thickTop="1" x14ac:dyDescent="0.2">
      <c r="A37" s="410" t="s">
        <v>28</v>
      </c>
    </row>
    <row r="38" spans="1:19" ht="16.5" thickBot="1" x14ac:dyDescent="0.3">
      <c r="A38" s="410" t="s">
        <v>28</v>
      </c>
      <c r="E38" s="411" t="s">
        <v>69</v>
      </c>
      <c r="F38" s="412"/>
      <c r="G38" s="412"/>
      <c r="H38" s="412"/>
      <c r="I38" s="412"/>
      <c r="J38" s="412"/>
      <c r="K38" s="412"/>
      <c r="L38" s="412"/>
      <c r="M38" s="412"/>
      <c r="N38" s="1133" t="s">
        <v>70</v>
      </c>
      <c r="O38" s="1133"/>
      <c r="S38" s="466"/>
    </row>
    <row r="39" spans="1:19" ht="13.5" thickTop="1" x14ac:dyDescent="0.2">
      <c r="A39" s="410" t="s">
        <v>28</v>
      </c>
      <c r="E39" s="1097" t="s">
        <v>59</v>
      </c>
      <c r="F39" s="1097" t="s">
        <v>60</v>
      </c>
      <c r="G39" s="1097"/>
      <c r="H39" s="448" t="s">
        <v>61</v>
      </c>
      <c r="I39" s="1119" t="s">
        <v>62</v>
      </c>
      <c r="J39" s="1119"/>
      <c r="K39" s="1119" t="s">
        <v>63</v>
      </c>
      <c r="L39" s="1119"/>
      <c r="M39" s="1097" t="s">
        <v>64</v>
      </c>
      <c r="N39" s="1128" t="s">
        <v>71</v>
      </c>
      <c r="O39" s="1126" t="s">
        <v>72</v>
      </c>
      <c r="P39" s="466" t="s">
        <v>222</v>
      </c>
      <c r="Q39" s="467" t="s">
        <v>221</v>
      </c>
      <c r="R39" s="468" t="s">
        <v>261</v>
      </c>
      <c r="S39" s="466"/>
    </row>
    <row r="40" spans="1:19" x14ac:dyDescent="0.2">
      <c r="A40" s="410" t="s">
        <v>28</v>
      </c>
      <c r="E40" s="1098"/>
      <c r="F40" s="1098"/>
      <c r="G40" s="1098"/>
      <c r="H40" s="449" t="s">
        <v>65</v>
      </c>
      <c r="I40" s="449" t="s">
        <v>66</v>
      </c>
      <c r="J40" s="449" t="s">
        <v>20</v>
      </c>
      <c r="K40" s="449" t="s">
        <v>66</v>
      </c>
      <c r="L40" s="449" t="s">
        <v>20</v>
      </c>
      <c r="M40" s="1098"/>
      <c r="N40" s="1129"/>
      <c r="O40" s="1127"/>
      <c r="P40" s="466"/>
      <c r="Q40" s="469"/>
      <c r="R40" s="466"/>
    </row>
    <row r="41" spans="1:19" x14ac:dyDescent="0.2">
      <c r="A41" s="410" t="str">
        <f t="shared" ref="A41:A62" si="10">IF(E41="","",IF(E41=0,"","*"))</f>
        <v>*</v>
      </c>
      <c r="B41" s="410" t="str">
        <f t="shared" ref="B41:B62" ca="1" si="11">IF(H41&lt;=$E$83,"A","B")</f>
        <v>A</v>
      </c>
      <c r="C41" s="446"/>
      <c r="D41" s="450">
        <f t="shared" ref="D41:D62" si="12">IF(F41="Chaves",((1+$I$9)^(1/12)-1),IF(F41="Anual",$I$9,IF(F41="Semestral",((1+$I$9)^(1/2)-1),IF(F41="Mensal",((1+$I$9)^(1/12)-1),IF(F41="Sinal",0)))))</f>
        <v>0</v>
      </c>
      <c r="E41" s="470">
        <f>'Simulador CEF'!E64</f>
        <v>1</v>
      </c>
      <c r="F41" s="470" t="s">
        <v>52</v>
      </c>
      <c r="G41" s="471" t="s">
        <v>36</v>
      </c>
      <c r="H41" s="471">
        <f ca="1">'Simulador CEF'!M64</f>
        <v>43802</v>
      </c>
      <c r="I41" s="472">
        <f>'Simulador CEF'!G64</f>
        <v>2000</v>
      </c>
      <c r="J41" s="456">
        <f t="shared" ref="J41:J52" si="13">I41*E41</f>
        <v>2000</v>
      </c>
      <c r="K41" s="456">
        <f t="shared" ref="K41:K61" ca="1" si="14">IF(H41&lt;=$E$83,I41,   -PMT(D41,E41, (-FV(((1+$I$9)^(1/12)-1),( VLOOKUP(H41,Mês,2) ),,M41)),,1)       )</f>
        <v>2000</v>
      </c>
      <c r="L41" s="456">
        <f t="shared" ref="L41:L52" ca="1" si="15">K41*E41</f>
        <v>2000</v>
      </c>
      <c r="M41" s="456">
        <f t="shared" ref="M41:M61" ca="1" si="16">IF(E41&lt;1,0,IF(H41&lt;=$E$83,-PV(((1+$I$9)^(1/12)-1),( VLOOKUP(H41,Mês,2) ),,(-PV((IF(F41="Anual",$I$9,IF(F41="Semestral",((1+$I$9)^(1/2)-1),((1+$I$9)^(1/12)-1)))),E41,I41,,1)),1),-PV(((1+$I$9)^(1/12)-1),( VLOOKUP($E$83,Mês,2) ),,J41,1)))</f>
        <v>2000</v>
      </c>
      <c r="N41" s="473">
        <v>0</v>
      </c>
      <c r="O41" s="474">
        <v>1</v>
      </c>
      <c r="P41" s="475">
        <f t="shared" ref="P41:P52" ca="1" si="17">IF(E41&lt;1,0,IF(H41&lt;=$E$83,-FV(((1+$I$9)^(1/12)-1),( VLOOKUP(H41,Mês,2) ),,(-PMT((IF(F41="Anual",$I$9,IF(F41="Semestral",((1+$I$9)^(1/2)-1),((1+$I$9)^(1/12)-1)))),E41,Q41,,1)),1),-PV(((1+$I$9)^(1/12)-1),( VLOOKUP($E$83,Mês,2) ),,Q41,1)))</f>
        <v>1999.9999999999716</v>
      </c>
      <c r="Q41" s="476">
        <f t="shared" ref="Q41:Q51" ca="1" si="18">$M$36-$M$63+M41</f>
        <v>1999.9999999999709</v>
      </c>
      <c r="R41" s="477">
        <f t="shared" ref="R41:R51" ca="1" si="19">M41</f>
        <v>2000</v>
      </c>
    </row>
    <row r="42" spans="1:19" x14ac:dyDescent="0.2">
      <c r="A42" s="410" t="str">
        <f t="shared" si="10"/>
        <v>*</v>
      </c>
      <c r="B42" s="410" t="str">
        <f t="shared" ca="1" si="11"/>
        <v>A</v>
      </c>
      <c r="C42" s="446"/>
      <c r="D42" s="450">
        <f t="shared" si="12"/>
        <v>7.2073233161367156E-3</v>
      </c>
      <c r="E42" s="470">
        <f>'Simulador CEF'!E66</f>
        <v>1</v>
      </c>
      <c r="F42" s="470" t="s">
        <v>45</v>
      </c>
      <c r="G42" s="471" t="s">
        <v>41</v>
      </c>
      <c r="H42" s="471">
        <f ca="1">'Simulador CEF'!M66</f>
        <v>43831</v>
      </c>
      <c r="I42" s="472">
        <f>'Simulador CEF'!G66</f>
        <v>1000</v>
      </c>
      <c r="J42" s="456">
        <f t="shared" si="13"/>
        <v>1000</v>
      </c>
      <c r="K42" s="456">
        <f t="shared" ca="1" si="14"/>
        <v>1000</v>
      </c>
      <c r="L42" s="456">
        <f t="shared" ca="1" si="15"/>
        <v>1000</v>
      </c>
      <c r="M42" s="456">
        <f t="shared" ca="1" si="16"/>
        <v>992.84425048419303</v>
      </c>
      <c r="N42" s="473"/>
      <c r="O42" s="478"/>
      <c r="P42" s="475">
        <f t="shared" ca="1" si="17"/>
        <v>999.99999999997101</v>
      </c>
      <c r="Q42" s="476">
        <f t="shared" ca="1" si="18"/>
        <v>992.84425048416392</v>
      </c>
      <c r="R42" s="477">
        <f t="shared" ca="1" si="19"/>
        <v>992.84425048419303</v>
      </c>
    </row>
    <row r="43" spans="1:19" x14ac:dyDescent="0.2">
      <c r="A43" s="410" t="str">
        <f t="shared" si="10"/>
        <v/>
      </c>
      <c r="B43" s="410" t="str">
        <f t="shared" ca="1" si="11"/>
        <v>A</v>
      </c>
      <c r="C43" s="446"/>
      <c r="D43" s="450">
        <f t="shared" si="12"/>
        <v>7.2073233161367156E-3</v>
      </c>
      <c r="E43" s="470">
        <f>'Simulador CEF'!E68</f>
        <v>0</v>
      </c>
      <c r="F43" s="470" t="s">
        <v>45</v>
      </c>
      <c r="G43" s="471" t="s">
        <v>41</v>
      </c>
      <c r="H43" s="471">
        <f ca="1">'Simulador CEF'!M68</f>
        <v>43862</v>
      </c>
      <c r="I43" s="472">
        <f>'Simulador CEF'!G68</f>
        <v>0</v>
      </c>
      <c r="J43" s="456">
        <f t="shared" si="13"/>
        <v>0</v>
      </c>
      <c r="K43" s="456">
        <f t="shared" ca="1" si="14"/>
        <v>0</v>
      </c>
      <c r="L43" s="456">
        <f t="shared" ca="1" si="15"/>
        <v>0</v>
      </c>
      <c r="M43" s="456">
        <f t="shared" si="16"/>
        <v>0</v>
      </c>
      <c r="N43" s="473"/>
      <c r="O43" s="478"/>
      <c r="P43" s="475">
        <f t="shared" si="17"/>
        <v>0</v>
      </c>
      <c r="Q43" s="476">
        <f t="shared" ca="1" si="18"/>
        <v>-2.9103830456733704E-11</v>
      </c>
      <c r="R43" s="477">
        <f t="shared" si="19"/>
        <v>0</v>
      </c>
    </row>
    <row r="44" spans="1:19" x14ac:dyDescent="0.2">
      <c r="A44" s="410" t="str">
        <f t="shared" si="10"/>
        <v>*</v>
      </c>
      <c r="B44" s="410" t="str">
        <f t="shared" ca="1" si="11"/>
        <v>A</v>
      </c>
      <c r="C44" s="446"/>
      <c r="D44" s="450">
        <f t="shared" si="12"/>
        <v>7.2073233161367156E-3</v>
      </c>
      <c r="E44" s="470">
        <f>'Simulador CEF'!E70</f>
        <v>1</v>
      </c>
      <c r="F44" s="470" t="s">
        <v>45</v>
      </c>
      <c r="G44" s="471" t="s">
        <v>41</v>
      </c>
      <c r="H44" s="471">
        <f ca="1">'Simulador CEF'!M70</f>
        <v>43862</v>
      </c>
      <c r="I44" s="472">
        <f>'Simulador CEF'!G70</f>
        <v>1000</v>
      </c>
      <c r="J44" s="456">
        <f t="shared" si="13"/>
        <v>1000</v>
      </c>
      <c r="K44" s="456">
        <f t="shared" ca="1" si="14"/>
        <v>1000</v>
      </c>
      <c r="L44" s="456">
        <f t="shared" ca="1" si="15"/>
        <v>1000</v>
      </c>
      <c r="M44" s="456">
        <f t="shared" ca="1" si="16"/>
        <v>985.73970571951907</v>
      </c>
      <c r="N44" s="473"/>
      <c r="O44" s="478"/>
      <c r="P44" s="475">
        <f t="shared" ca="1" si="17"/>
        <v>999.99999999997078</v>
      </c>
      <c r="Q44" s="476">
        <f t="shared" ca="1" si="18"/>
        <v>985.73970571948996</v>
      </c>
      <c r="R44" s="477">
        <f t="shared" ca="1" si="19"/>
        <v>985.73970571951907</v>
      </c>
    </row>
    <row r="45" spans="1:19" x14ac:dyDescent="0.2">
      <c r="A45" s="410" t="str">
        <f t="shared" si="10"/>
        <v>*</v>
      </c>
      <c r="B45" s="410" t="str">
        <f t="shared" ca="1" si="11"/>
        <v>A</v>
      </c>
      <c r="C45" s="446"/>
      <c r="D45" s="450">
        <f t="shared" si="12"/>
        <v>7.2073233161367156E-3</v>
      </c>
      <c r="E45" s="470">
        <f>'Simulador CEF'!E74</f>
        <v>1</v>
      </c>
      <c r="F45" s="470" t="s">
        <v>45</v>
      </c>
      <c r="G45" s="471" t="s">
        <v>41</v>
      </c>
      <c r="H45" s="471">
        <f ca="1">'Simulador CEF'!M74</f>
        <v>43800</v>
      </c>
      <c r="I45" s="472">
        <f>'Simulador CEF'!G74</f>
        <v>0</v>
      </c>
      <c r="J45" s="456">
        <f t="shared" si="13"/>
        <v>0</v>
      </c>
      <c r="K45" s="456">
        <f t="shared" ca="1" si="14"/>
        <v>0</v>
      </c>
      <c r="L45" s="456">
        <f t="shared" ca="1" si="15"/>
        <v>0</v>
      </c>
      <c r="M45" s="456">
        <f t="shared" ca="1" si="16"/>
        <v>0</v>
      </c>
      <c r="N45" s="473"/>
      <c r="O45" s="478"/>
      <c r="P45" s="475">
        <f t="shared" ca="1" si="17"/>
        <v>-2.910383045673371E-11</v>
      </c>
      <c r="Q45" s="476">
        <f t="shared" ca="1" si="18"/>
        <v>-2.9103830456733704E-11</v>
      </c>
      <c r="R45" s="477">
        <f t="shared" ca="1" si="19"/>
        <v>0</v>
      </c>
    </row>
    <row r="46" spans="1:19" x14ac:dyDescent="0.2">
      <c r="A46" s="410" t="str">
        <f>IF(E46="","",IF(E46=0,"","*"))</f>
        <v>*</v>
      </c>
      <c r="B46" s="410" t="str">
        <f t="shared" ca="1" si="11"/>
        <v>A</v>
      </c>
      <c r="C46" s="446"/>
      <c r="D46" s="450">
        <f>IF(F46="Chaves",((1+$I$9)^(1/12)-1),IF(F46="Anual",$I$9,IF(F46="Semestral",((1+$I$9)^(1/2)-1),IF(F46="Mensal",((1+$I$9)^(1/12)-1),IF(F46="Sinal",0)))))</f>
        <v>7.2073233161367156E-3</v>
      </c>
      <c r="E46" s="470">
        <f>'Simulador CEF'!E76</f>
        <v>8</v>
      </c>
      <c r="F46" s="470" t="s">
        <v>45</v>
      </c>
      <c r="G46" s="471" t="s">
        <v>41</v>
      </c>
      <c r="H46" s="471">
        <f ca="1">'Simulador CEF'!M76</f>
        <v>43922</v>
      </c>
      <c r="I46" s="472">
        <f>'Simulador CEF'!G76</f>
        <v>1300</v>
      </c>
      <c r="J46" s="456">
        <f>I46*E46</f>
        <v>10400</v>
      </c>
      <c r="K46" s="456">
        <f t="shared" ca="1" si="14"/>
        <v>1300</v>
      </c>
      <c r="L46" s="456">
        <f ca="1">K46*E46</f>
        <v>10400</v>
      </c>
      <c r="M46" s="456">
        <f t="shared" ca="1" si="16"/>
        <v>9855.9972015643198</v>
      </c>
      <c r="N46" s="473"/>
      <c r="O46" s="478"/>
      <c r="P46" s="475">
        <f t="shared" ca="1" si="17"/>
        <v>1299.9999999999839</v>
      </c>
      <c r="Q46" s="476">
        <f t="shared" ca="1" si="18"/>
        <v>9855.9972015642907</v>
      </c>
      <c r="R46" s="477">
        <f t="shared" ca="1" si="19"/>
        <v>9855.9972015643198</v>
      </c>
    </row>
    <row r="47" spans="1:19" x14ac:dyDescent="0.2">
      <c r="A47" s="410" t="str">
        <f t="shared" si="10"/>
        <v>*</v>
      </c>
      <c r="B47" s="410" t="str">
        <f t="shared" ca="1" si="11"/>
        <v>B</v>
      </c>
      <c r="C47" s="446"/>
      <c r="D47" s="450">
        <f t="shared" si="12"/>
        <v>7.2073233161367156E-3</v>
      </c>
      <c r="E47" s="470">
        <f>'Simulador CEF'!E83</f>
        <v>1</v>
      </c>
      <c r="F47" s="470" t="s">
        <v>45</v>
      </c>
      <c r="G47" s="471" t="s">
        <v>41</v>
      </c>
      <c r="H47" s="471">
        <f ca="1">'Simulador CEF'!M83</f>
        <v>44896</v>
      </c>
      <c r="I47" s="472">
        <f>'Simulador CEF'!G83</f>
        <v>0</v>
      </c>
      <c r="J47" s="456">
        <f t="shared" si="13"/>
        <v>0</v>
      </c>
      <c r="K47" s="456">
        <f t="shared" ca="1" si="14"/>
        <v>0</v>
      </c>
      <c r="L47" s="456">
        <f t="shared" ca="1" si="15"/>
        <v>0</v>
      </c>
      <c r="M47" s="456">
        <f t="shared" ca="1" si="16"/>
        <v>0</v>
      </c>
      <c r="N47" s="473"/>
      <c r="O47" s="478"/>
      <c r="P47" s="475">
        <f t="shared" ca="1" si="17"/>
        <v>-2.6893202910617821E-11</v>
      </c>
      <c r="Q47" s="476">
        <f t="shared" ca="1" si="18"/>
        <v>-2.9103830456733704E-11</v>
      </c>
      <c r="R47" s="477">
        <f t="shared" ca="1" si="19"/>
        <v>0</v>
      </c>
    </row>
    <row r="48" spans="1:19" x14ac:dyDescent="0.2">
      <c r="A48" s="410" t="str">
        <f>IF(E48="","",IF(E48=0,"","*"))</f>
        <v>*</v>
      </c>
      <c r="B48" s="410" t="str">
        <f t="shared" si="11"/>
        <v>A</v>
      </c>
      <c r="C48" s="446"/>
      <c r="D48" s="450">
        <f>IF(F48="Chaves",((1+$I$9)^(1/12)-1),IF(F48="Anual",$I$9,IF(F48="Semestral",((1+$I$9)^(1/2)-1),IF(F48="Mensal",((1+$I$9)^(1/12)-1),IF(F48="Sinal",0)))))</f>
        <v>0.09</v>
      </c>
      <c r="E48" s="470">
        <f>'Simulador CEF'!E79</f>
        <v>1</v>
      </c>
      <c r="F48" s="470" t="s">
        <v>35</v>
      </c>
      <c r="G48" s="471" t="s">
        <v>41</v>
      </c>
      <c r="H48" s="471">
        <f>'Simulador CEF'!M79</f>
        <v>44044</v>
      </c>
      <c r="I48" s="472">
        <f>'Simulador CEF'!G79</f>
        <v>5000</v>
      </c>
      <c r="J48" s="456">
        <f t="shared" si="13"/>
        <v>5000</v>
      </c>
      <c r="K48" s="456">
        <f t="shared" si="14"/>
        <v>5000</v>
      </c>
      <c r="L48" s="456">
        <f>K48*E48</f>
        <v>5000</v>
      </c>
      <c r="M48" s="456">
        <f t="shared" ca="1" si="16"/>
        <v>4720.8370026215944</v>
      </c>
      <c r="N48" s="473"/>
      <c r="O48" s="478"/>
      <c r="P48" s="475">
        <f t="shared" ca="1" si="17"/>
        <v>4999.9999999999727</v>
      </c>
      <c r="Q48" s="476">
        <f t="shared" ca="1" si="18"/>
        <v>4720.8370026215653</v>
      </c>
      <c r="R48" s="477">
        <f t="shared" ca="1" si="19"/>
        <v>4720.8370026215944</v>
      </c>
    </row>
    <row r="49" spans="1:18" x14ac:dyDescent="0.2">
      <c r="A49" s="410" t="str">
        <f t="shared" si="10"/>
        <v>*</v>
      </c>
      <c r="B49" s="410" t="str">
        <f t="shared" ca="1" si="11"/>
        <v>A</v>
      </c>
      <c r="C49" s="446"/>
      <c r="D49" s="450">
        <f t="shared" si="12"/>
        <v>7.2073233161367156E-3</v>
      </c>
      <c r="E49" s="470">
        <f>'Simulador CEF'!E87</f>
        <v>1</v>
      </c>
      <c r="F49" s="470" t="s">
        <v>40</v>
      </c>
      <c r="G49" s="471" t="s">
        <v>41</v>
      </c>
      <c r="H49" s="471">
        <f ca="1">'Simulador CEF'!M81</f>
        <v>43800</v>
      </c>
      <c r="I49" s="472">
        <f>'Simulador CEF'!G81</f>
        <v>0</v>
      </c>
      <c r="J49" s="456">
        <f t="shared" si="13"/>
        <v>0</v>
      </c>
      <c r="K49" s="456">
        <f t="shared" ca="1" si="14"/>
        <v>0</v>
      </c>
      <c r="L49" s="456">
        <f ca="1">K49*E49</f>
        <v>0</v>
      </c>
      <c r="M49" s="456">
        <f t="shared" ca="1" si="16"/>
        <v>0</v>
      </c>
      <c r="N49" s="473"/>
      <c r="O49" s="478"/>
      <c r="P49" s="475">
        <f t="shared" ca="1" si="17"/>
        <v>-2.910383045673371E-11</v>
      </c>
      <c r="Q49" s="476">
        <f t="shared" ca="1" si="18"/>
        <v>-2.9103830456733704E-11</v>
      </c>
      <c r="R49" s="477">
        <f t="shared" ca="1" si="19"/>
        <v>0</v>
      </c>
    </row>
    <row r="50" spans="1:18" x14ac:dyDescent="0.2">
      <c r="A50" s="410" t="str">
        <f>IF(E50="","",IF(E50=0,"","*"))</f>
        <v>*</v>
      </c>
      <c r="B50" s="410" t="str">
        <f t="shared" ca="1" si="11"/>
        <v>B</v>
      </c>
      <c r="C50" s="446"/>
      <c r="D50" s="450">
        <f>IF(F50="Chaves",((1+$I$9)^(1/12)-1),IF(F50="Anual",$I$9,IF(F50="Semestral",((1+$I$9)^(1/2)-1),IF(F50="Mensal",((1+$I$9)^(1/12)-1),IF(F50="Sinal",0)))))</f>
        <v>7.2073233161367156E-3</v>
      </c>
      <c r="E50" s="470">
        <v>1</v>
      </c>
      <c r="F50" s="470" t="s">
        <v>45</v>
      </c>
      <c r="G50" s="471" t="s">
        <v>41</v>
      </c>
      <c r="H50" s="471">
        <f ca="1">'Simulador CEF'!M89</f>
        <v>44927</v>
      </c>
      <c r="I50" s="479">
        <f>'Simulador CEF'!P89</f>
        <v>100</v>
      </c>
      <c r="J50" s="456">
        <f t="shared" si="13"/>
        <v>100</v>
      </c>
      <c r="K50" s="456">
        <f t="shared" ca="1" si="14"/>
        <v>120.52877581235015</v>
      </c>
      <c r="L50" s="456">
        <f t="shared" ca="1" si="15"/>
        <v>120.52877581235015</v>
      </c>
      <c r="M50" s="456">
        <f t="shared" ca="1" si="16"/>
        <v>92.404341588636441</v>
      </c>
      <c r="N50" s="473"/>
      <c r="O50" s="478"/>
      <c r="P50" s="475">
        <f t="shared" ca="1" si="17"/>
        <v>85.385623444267168</v>
      </c>
      <c r="Q50" s="476">
        <f t="shared" ca="1" si="18"/>
        <v>92.404341588607338</v>
      </c>
      <c r="R50" s="477">
        <f t="shared" ca="1" si="19"/>
        <v>92.404341588636441</v>
      </c>
    </row>
    <row r="51" spans="1:18" x14ac:dyDescent="0.2">
      <c r="A51" s="410" t="str">
        <f>IF(E51="","",IF(E51=0,"","*"))</f>
        <v>*</v>
      </c>
      <c r="B51" s="410" t="str">
        <f t="shared" ca="1" si="11"/>
        <v>A</v>
      </c>
      <c r="C51" s="446"/>
      <c r="D51" s="450">
        <f>IF(F51="Chaves",((1+$I$9)^(1/12)-1),IF(F51="Anual",$I$9,IF(F51="Semestral",((1+$I$9)^(1/2)-1),IF(F51="Mensal",((1+$I$9)^(1/12)-1),IF(F51="Sinal",0)))))</f>
        <v>7.2073233161367156E-3</v>
      </c>
      <c r="E51" s="470">
        <v>1</v>
      </c>
      <c r="F51" s="470" t="s">
        <v>40</v>
      </c>
      <c r="G51" s="471" t="s">
        <v>41</v>
      </c>
      <c r="H51" s="471">
        <f ca="1">H23</f>
        <v>43893</v>
      </c>
      <c r="I51" s="479">
        <f>'Simulador CEF'!P91</f>
        <v>64678</v>
      </c>
      <c r="J51" s="456">
        <f>I51*E51</f>
        <v>64678</v>
      </c>
      <c r="K51" s="456">
        <f t="shared" ca="1" si="14"/>
        <v>64678</v>
      </c>
      <c r="L51" s="456">
        <f ca="1">K51*E51</f>
        <v>64678</v>
      </c>
      <c r="M51" s="456">
        <f t="shared" ca="1" si="16"/>
        <v>63299.453062570494</v>
      </c>
      <c r="N51" s="473"/>
      <c r="O51" s="478"/>
      <c r="P51" s="475">
        <f t="shared" ca="1" si="17"/>
        <v>64677.999999999985</v>
      </c>
      <c r="Q51" s="476">
        <f t="shared" ca="1" si="18"/>
        <v>63299.453062570465</v>
      </c>
      <c r="R51" s="477">
        <f t="shared" ca="1" si="19"/>
        <v>63299.453062570494</v>
      </c>
    </row>
    <row r="52" spans="1:18" x14ac:dyDescent="0.2">
      <c r="A52" s="410" t="str">
        <f t="shared" si="10"/>
        <v>*</v>
      </c>
      <c r="B52" s="410" t="str">
        <f t="shared" ca="1" si="11"/>
        <v>A</v>
      </c>
      <c r="C52" s="446"/>
      <c r="D52" s="450">
        <f t="shared" si="12"/>
        <v>7.2073233161367156E-3</v>
      </c>
      <c r="E52" s="470">
        <v>1</v>
      </c>
      <c r="F52" s="470" t="s">
        <v>40</v>
      </c>
      <c r="G52" s="471" t="s">
        <v>41</v>
      </c>
      <c r="H52" s="471">
        <f ca="1">H23</f>
        <v>43893</v>
      </c>
      <c r="I52" s="479">
        <f ca="1">'Simulador CEF'!P92</f>
        <v>135546.8048901349</v>
      </c>
      <c r="J52" s="456">
        <f t="shared" ca="1" si="13"/>
        <v>135546.8048901349</v>
      </c>
      <c r="K52" s="456">
        <f t="shared" ca="1" si="14"/>
        <v>135546.8048901349</v>
      </c>
      <c r="L52" s="456">
        <f t="shared" ca="1" si="15"/>
        <v>135546.8048901349</v>
      </c>
      <c r="M52" s="456">
        <f t="shared" ca="1" si="16"/>
        <v>132657.76019549917</v>
      </c>
      <c r="N52" s="473"/>
      <c r="O52" s="478"/>
      <c r="P52" s="475">
        <f t="shared" ca="1" si="17"/>
        <v>135546.8048901349</v>
      </c>
      <c r="Q52" s="476">
        <f ca="1">$M$36-$M$63+M52</f>
        <v>132657.76019549914</v>
      </c>
      <c r="R52" s="480"/>
    </row>
    <row r="53" spans="1:18" x14ac:dyDescent="0.2">
      <c r="A53" s="410" t="str">
        <f t="shared" si="10"/>
        <v/>
      </c>
      <c r="B53" s="410" t="str">
        <f t="shared" si="11"/>
        <v>A</v>
      </c>
      <c r="C53" s="446"/>
      <c r="D53" s="450" t="b">
        <f t="shared" si="12"/>
        <v>0</v>
      </c>
      <c r="E53" s="470"/>
      <c r="F53" s="470"/>
      <c r="G53" s="471"/>
      <c r="H53" s="471"/>
      <c r="I53" s="479"/>
      <c r="J53" s="456">
        <f t="shared" ref="J53:J61" si="20">I53*E53</f>
        <v>0</v>
      </c>
      <c r="K53" s="456">
        <f t="shared" si="14"/>
        <v>0</v>
      </c>
      <c r="L53" s="456">
        <f t="shared" ref="L53:L61" si="21">K53*E53</f>
        <v>0</v>
      </c>
      <c r="M53" s="456">
        <f t="shared" si="16"/>
        <v>0</v>
      </c>
      <c r="N53" s="473"/>
      <c r="O53" s="478"/>
      <c r="P53" s="481"/>
      <c r="R53" s="477">
        <f t="shared" ref="R53:R62" si="22">M53</f>
        <v>0</v>
      </c>
    </row>
    <row r="54" spans="1:18" x14ac:dyDescent="0.2">
      <c r="A54" s="410" t="str">
        <f t="shared" si="10"/>
        <v/>
      </c>
      <c r="B54" s="410" t="str">
        <f t="shared" si="11"/>
        <v>A</v>
      </c>
      <c r="C54" s="446"/>
      <c r="D54" s="450" t="b">
        <f t="shared" si="12"/>
        <v>0</v>
      </c>
      <c r="E54" s="470"/>
      <c r="F54" s="470"/>
      <c r="G54" s="471"/>
      <c r="H54" s="471"/>
      <c r="I54" s="479"/>
      <c r="J54" s="456">
        <f t="shared" si="20"/>
        <v>0</v>
      </c>
      <c r="K54" s="456">
        <f t="shared" si="14"/>
        <v>0</v>
      </c>
      <c r="L54" s="456">
        <f t="shared" si="21"/>
        <v>0</v>
      </c>
      <c r="M54" s="456">
        <f t="shared" si="16"/>
        <v>0</v>
      </c>
      <c r="N54" s="473"/>
      <c r="O54" s="478"/>
      <c r="P54" s="481"/>
      <c r="R54" s="477">
        <f t="shared" si="22"/>
        <v>0</v>
      </c>
    </row>
    <row r="55" spans="1:18" x14ac:dyDescent="0.2">
      <c r="A55" s="410" t="str">
        <f t="shared" si="10"/>
        <v/>
      </c>
      <c r="B55" s="410" t="str">
        <f t="shared" si="11"/>
        <v>A</v>
      </c>
      <c r="C55" s="446"/>
      <c r="D55" s="450" t="b">
        <f t="shared" si="12"/>
        <v>0</v>
      </c>
      <c r="E55" s="470"/>
      <c r="F55" s="470"/>
      <c r="G55" s="471"/>
      <c r="H55" s="471"/>
      <c r="I55" s="479"/>
      <c r="J55" s="456">
        <f t="shared" si="20"/>
        <v>0</v>
      </c>
      <c r="K55" s="456">
        <f t="shared" si="14"/>
        <v>0</v>
      </c>
      <c r="L55" s="456">
        <f t="shared" si="21"/>
        <v>0</v>
      </c>
      <c r="M55" s="456">
        <f t="shared" si="16"/>
        <v>0</v>
      </c>
      <c r="N55" s="473"/>
      <c r="O55" s="478"/>
      <c r="P55" s="481"/>
      <c r="R55" s="477">
        <f t="shared" si="22"/>
        <v>0</v>
      </c>
    </row>
    <row r="56" spans="1:18" x14ac:dyDescent="0.2">
      <c r="A56" s="410" t="str">
        <f t="shared" si="10"/>
        <v/>
      </c>
      <c r="B56" s="410" t="str">
        <f t="shared" si="11"/>
        <v>A</v>
      </c>
      <c r="C56" s="446"/>
      <c r="D56" s="450" t="b">
        <f t="shared" si="12"/>
        <v>0</v>
      </c>
      <c r="E56" s="470"/>
      <c r="F56" s="470"/>
      <c r="G56" s="471"/>
      <c r="H56" s="471"/>
      <c r="I56" s="479"/>
      <c r="J56" s="456">
        <f t="shared" si="20"/>
        <v>0</v>
      </c>
      <c r="K56" s="456">
        <f t="shared" si="14"/>
        <v>0</v>
      </c>
      <c r="L56" s="456">
        <f t="shared" si="21"/>
        <v>0</v>
      </c>
      <c r="M56" s="456">
        <f t="shared" si="16"/>
        <v>0</v>
      </c>
      <c r="N56" s="473"/>
      <c r="O56" s="478"/>
      <c r="P56" s="481"/>
      <c r="R56" s="477">
        <f t="shared" si="22"/>
        <v>0</v>
      </c>
    </row>
    <row r="57" spans="1:18" x14ac:dyDescent="0.2">
      <c r="A57" s="410" t="str">
        <f t="shared" si="10"/>
        <v/>
      </c>
      <c r="B57" s="410" t="str">
        <f t="shared" si="11"/>
        <v>A</v>
      </c>
      <c r="C57" s="446"/>
      <c r="D57" s="450" t="b">
        <f t="shared" si="12"/>
        <v>0</v>
      </c>
      <c r="E57" s="470"/>
      <c r="F57" s="470"/>
      <c r="G57" s="471"/>
      <c r="H57" s="471"/>
      <c r="I57" s="479"/>
      <c r="J57" s="456">
        <f t="shared" si="20"/>
        <v>0</v>
      </c>
      <c r="K57" s="456">
        <f t="shared" si="14"/>
        <v>0</v>
      </c>
      <c r="L57" s="456">
        <f t="shared" si="21"/>
        <v>0</v>
      </c>
      <c r="M57" s="456">
        <f t="shared" si="16"/>
        <v>0</v>
      </c>
      <c r="N57" s="473"/>
      <c r="O57" s="478"/>
      <c r="P57" s="481"/>
      <c r="R57" s="477">
        <f t="shared" si="22"/>
        <v>0</v>
      </c>
    </row>
    <row r="58" spans="1:18" x14ac:dyDescent="0.2">
      <c r="A58" s="410" t="str">
        <f t="shared" si="10"/>
        <v/>
      </c>
      <c r="B58" s="410" t="str">
        <f t="shared" si="11"/>
        <v>A</v>
      </c>
      <c r="C58" s="446"/>
      <c r="D58" s="450" t="b">
        <f t="shared" si="12"/>
        <v>0</v>
      </c>
      <c r="E58" s="470"/>
      <c r="F58" s="470"/>
      <c r="G58" s="471"/>
      <c r="H58" s="471"/>
      <c r="I58" s="479"/>
      <c r="J58" s="456">
        <f t="shared" si="20"/>
        <v>0</v>
      </c>
      <c r="K58" s="456">
        <f t="shared" si="14"/>
        <v>0</v>
      </c>
      <c r="L58" s="456">
        <f t="shared" si="21"/>
        <v>0</v>
      </c>
      <c r="M58" s="456">
        <f t="shared" si="16"/>
        <v>0</v>
      </c>
      <c r="N58" s="473"/>
      <c r="O58" s="478"/>
      <c r="P58" s="481"/>
      <c r="R58" s="477">
        <f t="shared" si="22"/>
        <v>0</v>
      </c>
    </row>
    <row r="59" spans="1:18" x14ac:dyDescent="0.2">
      <c r="A59" s="410" t="str">
        <f t="shared" si="10"/>
        <v/>
      </c>
      <c r="B59" s="410" t="str">
        <f t="shared" si="11"/>
        <v>A</v>
      </c>
      <c r="C59" s="446"/>
      <c r="D59" s="450" t="b">
        <f t="shared" si="12"/>
        <v>0</v>
      </c>
      <c r="E59" s="470"/>
      <c r="F59" s="470"/>
      <c r="G59" s="471"/>
      <c r="H59" s="471"/>
      <c r="I59" s="479"/>
      <c r="J59" s="456">
        <f t="shared" si="20"/>
        <v>0</v>
      </c>
      <c r="K59" s="456">
        <f t="shared" si="14"/>
        <v>0</v>
      </c>
      <c r="L59" s="456">
        <f t="shared" si="21"/>
        <v>0</v>
      </c>
      <c r="M59" s="456">
        <f t="shared" si="16"/>
        <v>0</v>
      </c>
      <c r="N59" s="473"/>
      <c r="O59" s="478"/>
      <c r="P59" s="481"/>
      <c r="R59" s="477">
        <f t="shared" si="22"/>
        <v>0</v>
      </c>
    </row>
    <row r="60" spans="1:18" x14ac:dyDescent="0.2">
      <c r="A60" s="410" t="str">
        <f t="shared" si="10"/>
        <v/>
      </c>
      <c r="B60" s="410" t="str">
        <f t="shared" si="11"/>
        <v>A</v>
      </c>
      <c r="C60" s="446"/>
      <c r="D60" s="450" t="b">
        <f t="shared" si="12"/>
        <v>0</v>
      </c>
      <c r="E60" s="470"/>
      <c r="F60" s="470"/>
      <c r="G60" s="471"/>
      <c r="H60" s="471"/>
      <c r="I60" s="479"/>
      <c r="J60" s="456">
        <f t="shared" si="20"/>
        <v>0</v>
      </c>
      <c r="K60" s="456">
        <f t="shared" si="14"/>
        <v>0</v>
      </c>
      <c r="L60" s="456">
        <f t="shared" si="21"/>
        <v>0</v>
      </c>
      <c r="M60" s="456">
        <f t="shared" si="16"/>
        <v>0</v>
      </c>
      <c r="N60" s="473"/>
      <c r="O60" s="478"/>
      <c r="P60" s="481"/>
      <c r="R60" s="477">
        <f t="shared" si="22"/>
        <v>0</v>
      </c>
    </row>
    <row r="61" spans="1:18" x14ac:dyDescent="0.2">
      <c r="A61" s="410" t="str">
        <f t="shared" si="10"/>
        <v/>
      </c>
      <c r="B61" s="410" t="str">
        <f t="shared" si="11"/>
        <v>A</v>
      </c>
      <c r="C61" s="446"/>
      <c r="D61" s="450" t="b">
        <f t="shared" si="12"/>
        <v>0</v>
      </c>
      <c r="E61" s="470"/>
      <c r="F61" s="470"/>
      <c r="G61" s="471"/>
      <c r="H61" s="471"/>
      <c r="I61" s="479"/>
      <c r="J61" s="456">
        <f t="shared" si="20"/>
        <v>0</v>
      </c>
      <c r="K61" s="456">
        <f t="shared" si="14"/>
        <v>0</v>
      </c>
      <c r="L61" s="456">
        <f t="shared" si="21"/>
        <v>0</v>
      </c>
      <c r="M61" s="456">
        <f t="shared" si="16"/>
        <v>0</v>
      </c>
      <c r="N61" s="473"/>
      <c r="O61" s="478"/>
      <c r="R61" s="477">
        <f t="shared" si="22"/>
        <v>0</v>
      </c>
    </row>
    <row r="62" spans="1:18" x14ac:dyDescent="0.2">
      <c r="A62" s="410" t="str">
        <f t="shared" si="10"/>
        <v/>
      </c>
      <c r="B62" s="410" t="str">
        <f t="shared" si="11"/>
        <v>A</v>
      </c>
      <c r="C62" s="446"/>
      <c r="D62" s="450" t="b">
        <f t="shared" si="12"/>
        <v>0</v>
      </c>
      <c r="E62" s="482"/>
      <c r="F62" s="482"/>
      <c r="G62" s="483"/>
      <c r="H62" s="483"/>
      <c r="I62" s="484"/>
      <c r="J62" s="485"/>
      <c r="K62" s="485"/>
      <c r="L62" s="485"/>
      <c r="M62" s="456"/>
      <c r="N62" s="473"/>
      <c r="O62" s="478"/>
      <c r="R62" s="486">
        <f t="shared" si="22"/>
        <v>0</v>
      </c>
    </row>
    <row r="63" spans="1:18" ht="13.5" thickBot="1" x14ac:dyDescent="0.25">
      <c r="A63" s="410" t="str">
        <f>IF(E63="","","*")</f>
        <v>*</v>
      </c>
      <c r="E63" s="1116" t="s">
        <v>68</v>
      </c>
      <c r="F63" s="1117"/>
      <c r="G63" s="1117"/>
      <c r="H63" s="1118"/>
      <c r="I63" s="461"/>
      <c r="J63" s="463">
        <f ca="1">SUM(J41:J62)</f>
        <v>219724.8048901349</v>
      </c>
      <c r="K63" s="461"/>
      <c r="L63" s="463">
        <f ca="1">SUM(L41:L62)</f>
        <v>219745.33366594726</v>
      </c>
      <c r="M63" s="464">
        <f ca="1">SUM(M41:M62)</f>
        <v>214605.03576004793</v>
      </c>
      <c r="O63" s="465"/>
      <c r="P63" s="481"/>
      <c r="R63" s="487">
        <f ca="1">SUM(R41:R62)</f>
        <v>81947.275564548763</v>
      </c>
    </row>
    <row r="64" spans="1:18" ht="13.5" thickTop="1" x14ac:dyDescent="0.2">
      <c r="A64" s="410" t="s">
        <v>28</v>
      </c>
      <c r="Q64" s="477">
        <f ca="1">IF(E52&lt;1,0,IF(H52&lt;=$E$83,-FV(((1+$I$9)^(1/12)-1),( VLOOKUP(H52,Mês,2) ),,(-PMT((IF(F52="Anual",$I$9,IF(F52="Semestral",((1+$I$9)^(1/2)-1),((1+$I$9)^(1/12)-1)))),E52,R64,,1)),1),-PV(((1+$I$9)^(1/12)-1),( VLOOKUP($E$83,Mês,2) ),,R64,1)))</f>
        <v>135546.8048901349</v>
      </c>
      <c r="R64" s="488">
        <f ca="1">M36-R63</f>
        <v>132657.76019549914</v>
      </c>
    </row>
    <row r="65" spans="1:13" x14ac:dyDescent="0.2">
      <c r="A65" s="410" t="s">
        <v>28</v>
      </c>
      <c r="J65" s="489"/>
    </row>
    <row r="66" spans="1:13" ht="13.5" thickBot="1" x14ac:dyDescent="0.25">
      <c r="A66" s="410" t="s">
        <v>28</v>
      </c>
    </row>
    <row r="67" spans="1:13" ht="17.25" thickTop="1" thickBot="1" x14ac:dyDescent="0.3">
      <c r="A67" s="410" t="s">
        <v>28</v>
      </c>
      <c r="E67" s="1110"/>
      <c r="F67" s="1134"/>
      <c r="G67" s="1123" t="s">
        <v>4</v>
      </c>
      <c r="H67" s="1124"/>
      <c r="I67" s="1123" t="s">
        <v>73</v>
      </c>
      <c r="J67" s="1136"/>
      <c r="K67" s="1124"/>
      <c r="L67" s="1123" t="s">
        <v>20</v>
      </c>
      <c r="M67" s="1124"/>
    </row>
    <row r="68" spans="1:13" ht="17.25" thickTop="1" thickBot="1" x14ac:dyDescent="0.3">
      <c r="A68" s="410" t="s">
        <v>28</v>
      </c>
      <c r="E68" s="1112"/>
      <c r="F68" s="1135"/>
      <c r="G68" s="490" t="s">
        <v>74</v>
      </c>
      <c r="H68" s="490" t="s">
        <v>75</v>
      </c>
      <c r="I68" s="490" t="s">
        <v>74</v>
      </c>
      <c r="J68" s="490" t="s">
        <v>76</v>
      </c>
      <c r="K68" s="490" t="s">
        <v>75</v>
      </c>
      <c r="L68" s="490" t="s">
        <v>74</v>
      </c>
      <c r="M68" s="490" t="s">
        <v>75</v>
      </c>
    </row>
    <row r="69" spans="1:13" ht="14.25" thickTop="1" thickBot="1" x14ac:dyDescent="0.25">
      <c r="A69" s="410" t="s">
        <v>28</v>
      </c>
      <c r="E69" s="1114" t="s">
        <v>39</v>
      </c>
      <c r="F69" s="1115"/>
      <c r="G69" s="491">
        <f ca="1">H69/100*$J$63</f>
        <v>0</v>
      </c>
      <c r="H69" s="492">
        <v>0</v>
      </c>
      <c r="I69" s="493"/>
      <c r="J69" s="491">
        <f ca="1">K69/100*$J$63</f>
        <v>0</v>
      </c>
      <c r="K69" s="492"/>
      <c r="L69" s="491">
        <f ca="1">J69+I69+G69</f>
        <v>0</v>
      </c>
      <c r="M69" s="494">
        <f ca="1">IF(L69=0,0,L69/$J$63)*100</f>
        <v>0</v>
      </c>
    </row>
    <row r="70" spans="1:13" ht="14.25" thickTop="1" thickBot="1" x14ac:dyDescent="0.25">
      <c r="A70" s="410" t="s">
        <v>28</v>
      </c>
      <c r="E70" s="1114" t="s">
        <v>44</v>
      </c>
      <c r="F70" s="1115"/>
      <c r="G70" s="491">
        <f ca="1">H70/100*$J$63</f>
        <v>0</v>
      </c>
      <c r="H70" s="492"/>
      <c r="I70" s="493"/>
      <c r="J70" s="491">
        <f ca="1">K70/100*$J$63</f>
        <v>0</v>
      </c>
      <c r="K70" s="492"/>
      <c r="L70" s="491">
        <f ca="1">J70+I70+G70</f>
        <v>0</v>
      </c>
      <c r="M70" s="494">
        <f ca="1">IF(L70=0,0,L70/$J$63)*100</f>
        <v>0</v>
      </c>
    </row>
    <row r="71" spans="1:13" ht="14.25" thickTop="1" thickBot="1" x14ac:dyDescent="0.25">
      <c r="A71" s="410" t="s">
        <v>28</v>
      </c>
      <c r="E71" s="1114" t="str">
        <f>J8</f>
        <v>Empresa de vendas</v>
      </c>
      <c r="F71" s="1115"/>
      <c r="G71" s="491">
        <f ca="1">H71/100*$J$63</f>
        <v>0</v>
      </c>
      <c r="H71" s="492"/>
      <c r="I71" s="493"/>
      <c r="J71" s="491">
        <f ca="1">K71/100*$J$63</f>
        <v>0</v>
      </c>
      <c r="K71" s="492"/>
      <c r="L71" s="491">
        <f ca="1">J71+I71+G71</f>
        <v>0</v>
      </c>
      <c r="M71" s="494">
        <f ca="1">IF(L71=0,0,L71/$J$63)*100</f>
        <v>0</v>
      </c>
    </row>
    <row r="72" spans="1:13" ht="14.25" thickTop="1" thickBot="1" x14ac:dyDescent="0.25">
      <c r="A72" s="410" t="s">
        <v>28</v>
      </c>
      <c r="E72" s="1120" t="s">
        <v>68</v>
      </c>
      <c r="F72" s="1122"/>
      <c r="G72" s="491">
        <f t="shared" ref="G72:M72" ca="1" si="23">SUM(G69:G71)</f>
        <v>0</v>
      </c>
      <c r="H72" s="494">
        <f t="shared" si="23"/>
        <v>0</v>
      </c>
      <c r="I72" s="491">
        <f t="shared" si="23"/>
        <v>0</v>
      </c>
      <c r="J72" s="495">
        <f t="shared" ca="1" si="23"/>
        <v>0</v>
      </c>
      <c r="K72" s="494">
        <f t="shared" si="23"/>
        <v>0</v>
      </c>
      <c r="L72" s="491">
        <f t="shared" ca="1" si="23"/>
        <v>0</v>
      </c>
      <c r="M72" s="494">
        <f t="shared" ca="1" si="23"/>
        <v>0</v>
      </c>
    </row>
    <row r="73" spans="1:13" ht="13.5" thickTop="1" x14ac:dyDescent="0.2">
      <c r="A73" s="410" t="s">
        <v>28</v>
      </c>
      <c r="E73" s="496"/>
      <c r="F73" s="496"/>
      <c r="G73" s="497"/>
      <c r="H73" s="498"/>
      <c r="I73" s="497"/>
      <c r="J73" s="499"/>
      <c r="K73" s="498"/>
      <c r="L73" s="497"/>
      <c r="M73" s="498"/>
    </row>
    <row r="74" spans="1:13" x14ac:dyDescent="0.2">
      <c r="A74" s="410" t="s">
        <v>28</v>
      </c>
    </row>
    <row r="75" spans="1:13" ht="16.5" thickBot="1" x14ac:dyDescent="0.3">
      <c r="A75" s="410" t="s">
        <v>28</v>
      </c>
      <c r="E75" s="411" t="s">
        <v>77</v>
      </c>
      <c r="F75" s="412"/>
      <c r="G75" s="412"/>
      <c r="H75" s="412"/>
      <c r="I75" s="412"/>
      <c r="J75" s="412"/>
      <c r="K75" s="412"/>
      <c r="L75" s="412"/>
      <c r="M75" s="412"/>
    </row>
    <row r="76" spans="1:13" ht="14.25" thickTop="1" thickBot="1" x14ac:dyDescent="0.25">
      <c r="A76" s="410" t="s">
        <v>28</v>
      </c>
      <c r="E76" s="1120" t="s">
        <v>78</v>
      </c>
      <c r="F76" s="1121"/>
      <c r="G76" s="1121"/>
      <c r="H76" s="1121" t="s">
        <v>79</v>
      </c>
      <c r="I76" s="1121"/>
      <c r="J76" s="1121"/>
      <c r="K76" s="1121" t="s">
        <v>80</v>
      </c>
      <c r="L76" s="1121"/>
      <c r="M76" s="1122"/>
    </row>
    <row r="77" spans="1:13" ht="13.5" thickTop="1" x14ac:dyDescent="0.2">
      <c r="A77" s="410" t="s">
        <v>28</v>
      </c>
      <c r="E77" s="1110"/>
      <c r="F77" s="1111"/>
      <c r="G77" s="1111"/>
      <c r="H77" s="1110"/>
      <c r="I77" s="1111"/>
      <c r="J77" s="1134"/>
      <c r="K77" s="1111"/>
      <c r="L77" s="1111"/>
      <c r="M77" s="1134"/>
    </row>
    <row r="78" spans="1:13" ht="13.5" thickBot="1" x14ac:dyDescent="0.25">
      <c r="A78" s="410" t="s">
        <v>28</v>
      </c>
      <c r="E78" s="1112"/>
      <c r="F78" s="1113"/>
      <c r="G78" s="1113"/>
      <c r="H78" s="1112"/>
      <c r="I78" s="1113"/>
      <c r="J78" s="1135"/>
      <c r="K78" s="1113"/>
      <c r="L78" s="1113"/>
      <c r="M78" s="1135"/>
    </row>
    <row r="79" spans="1:13" ht="13.5" thickTop="1" x14ac:dyDescent="0.2">
      <c r="A79" s="410" t="s">
        <v>28</v>
      </c>
      <c r="E79" s="500"/>
      <c r="F79" s="500"/>
      <c r="G79" s="500"/>
      <c r="H79" s="500"/>
      <c r="I79" s="500"/>
      <c r="J79" s="500"/>
      <c r="K79" s="500"/>
      <c r="L79" s="500"/>
      <c r="M79" s="500"/>
    </row>
    <row r="80" spans="1:13" x14ac:dyDescent="0.2">
      <c r="A80" s="410" t="s">
        <v>28</v>
      </c>
    </row>
    <row r="81" spans="1:13" ht="13.5" thickBot="1" x14ac:dyDescent="0.25">
      <c r="A81" s="410" t="s">
        <v>28</v>
      </c>
    </row>
    <row r="82" spans="1:13" ht="14.25" thickTop="1" thickBot="1" x14ac:dyDescent="0.25">
      <c r="A82" s="410" t="s">
        <v>28</v>
      </c>
      <c r="E82" s="1120" t="s">
        <v>81</v>
      </c>
      <c r="F82" s="1121"/>
      <c r="G82" s="1121"/>
      <c r="H82" s="1120" t="s">
        <v>82</v>
      </c>
      <c r="I82" s="1121"/>
      <c r="J82" s="1122"/>
      <c r="K82" s="1121" t="s">
        <v>82</v>
      </c>
      <c r="L82" s="1121"/>
      <c r="M82" s="1122"/>
    </row>
    <row r="83" spans="1:13" ht="13.5" thickTop="1" x14ac:dyDescent="0.2">
      <c r="A83" s="410" t="s">
        <v>28</v>
      </c>
      <c r="E83" s="1099">
        <f>G11</f>
        <v>44165</v>
      </c>
      <c r="F83" s="1100"/>
      <c r="G83" s="1101"/>
      <c r="H83" s="422" t="s">
        <v>83</v>
      </c>
      <c r="I83" s="423"/>
      <c r="J83" s="501">
        <f ca="1">SUMIF(B16:B36,"A",J16:J36)</f>
        <v>211210.16</v>
      </c>
      <c r="K83" s="423" t="s">
        <v>83</v>
      </c>
      <c r="L83" s="423"/>
      <c r="M83" s="501">
        <f ca="1">SUMIF(B41:B63,"A",J41:J63)</f>
        <v>219624.8048901349</v>
      </c>
    </row>
    <row r="84" spans="1:13" x14ac:dyDescent="0.2">
      <c r="A84" s="410" t="s">
        <v>28</v>
      </c>
      <c r="E84" s="1102"/>
      <c r="F84" s="1103"/>
      <c r="G84" s="1104"/>
      <c r="H84" s="422" t="s">
        <v>84</v>
      </c>
      <c r="I84" s="423"/>
      <c r="J84" s="502">
        <f ca="1">L36</f>
        <v>220358.20290966713</v>
      </c>
      <c r="K84" s="423" t="s">
        <v>84</v>
      </c>
      <c r="L84" s="423"/>
      <c r="M84" s="502">
        <f ca="1">L63</f>
        <v>219745.33366594726</v>
      </c>
    </row>
    <row r="85" spans="1:13" ht="13.5" thickBot="1" x14ac:dyDescent="0.25">
      <c r="A85" s="410" t="s">
        <v>28</v>
      </c>
      <c r="E85" s="1105"/>
      <c r="F85" s="1106"/>
      <c r="G85" s="1107"/>
      <c r="H85" s="428" t="s">
        <v>85</v>
      </c>
      <c r="I85" s="429"/>
      <c r="J85" s="503">
        <f ca="1">J83/J84</f>
        <v>0.95848558034657216</v>
      </c>
      <c r="K85" s="429" t="s">
        <v>85</v>
      </c>
      <c r="L85" s="429"/>
      <c r="M85" s="503">
        <f ca="1">IF(M83=0,0,M83/M84)</f>
        <v>0.99945150700676277</v>
      </c>
    </row>
    <row r="86" spans="1:13" ht="14.25" thickTop="1" thickBot="1" x14ac:dyDescent="0.25">
      <c r="A86" s="410" t="s">
        <v>28</v>
      </c>
    </row>
    <row r="87" spans="1:13" ht="14.25" thickTop="1" thickBot="1" x14ac:dyDescent="0.25">
      <c r="A87" s="410" t="s">
        <v>28</v>
      </c>
      <c r="E87" s="1108" t="s">
        <v>86</v>
      </c>
      <c r="F87" s="1109"/>
      <c r="G87" s="1109"/>
      <c r="H87" s="1109"/>
      <c r="I87" s="504">
        <f>SUMIF(F16:F36,"Sinal",J16:J36)/J36</f>
        <v>1.4999999999999999E-2</v>
      </c>
      <c r="J87" s="505" t="s">
        <v>87</v>
      </c>
      <c r="K87" s="506"/>
      <c r="L87" s="506"/>
      <c r="M87" s="504">
        <f ca="1">IF(J63=0,0,SUMIF(F41:F62,"Sinal",J41:J62)/J63)</f>
        <v>9.1022950321882172E-3</v>
      </c>
    </row>
    <row r="88" spans="1:13" ht="14.25" thickTop="1" thickBot="1" x14ac:dyDescent="0.25">
      <c r="A88" s="410" t="s">
        <v>28</v>
      </c>
    </row>
    <row r="89" spans="1:13" ht="14.25" thickTop="1" thickBot="1" x14ac:dyDescent="0.25">
      <c r="A89" s="410" t="s">
        <v>28</v>
      </c>
      <c r="E89" s="1093" t="s">
        <v>88</v>
      </c>
      <c r="F89" s="1094"/>
      <c r="G89" s="1095">
        <f ca="1">M36</f>
        <v>214605.0357600479</v>
      </c>
      <c r="H89" s="1096"/>
      <c r="I89" s="507" t="s">
        <v>89</v>
      </c>
      <c r="J89" s="508">
        <f ca="1">M63</f>
        <v>214605.03576004793</v>
      </c>
      <c r="K89" s="507" t="s">
        <v>90</v>
      </c>
      <c r="L89" s="509">
        <f ca="1">G89-J89</f>
        <v>0</v>
      </c>
      <c r="M89" s="510">
        <f ca="1">L89/G89</f>
        <v>0</v>
      </c>
    </row>
    <row r="90" spans="1:13" ht="13.5" thickTop="1" x14ac:dyDescent="0.2"/>
  </sheetData>
  <autoFilter ref="A1:A90"/>
  <mergeCells count="39">
    <mergeCell ref="K82:M82"/>
    <mergeCell ref="H77:J78"/>
    <mergeCell ref="E67:F68"/>
    <mergeCell ref="E69:F69"/>
    <mergeCell ref="K77:M78"/>
    <mergeCell ref="K76:M76"/>
    <mergeCell ref="H76:J76"/>
    <mergeCell ref="I67:K67"/>
    <mergeCell ref="L67:M67"/>
    <mergeCell ref="E76:G76"/>
    <mergeCell ref="N3:O3"/>
    <mergeCell ref="O39:O40"/>
    <mergeCell ref="M39:M40"/>
    <mergeCell ref="M14:M15"/>
    <mergeCell ref="N39:N40"/>
    <mergeCell ref="L3:M3"/>
    <mergeCell ref="L9:M9"/>
    <mergeCell ref="K14:L14"/>
    <mergeCell ref="K39:L39"/>
    <mergeCell ref="N38:O38"/>
    <mergeCell ref="I39:J39"/>
    <mergeCell ref="E82:G82"/>
    <mergeCell ref="H82:J82"/>
    <mergeCell ref="E63:H63"/>
    <mergeCell ref="I14:J14"/>
    <mergeCell ref="F39:G40"/>
    <mergeCell ref="G67:H67"/>
    <mergeCell ref="E72:F72"/>
    <mergeCell ref="E70:F70"/>
    <mergeCell ref="E89:F89"/>
    <mergeCell ref="G89:H89"/>
    <mergeCell ref="F14:G15"/>
    <mergeCell ref="E83:G85"/>
    <mergeCell ref="E87:H87"/>
    <mergeCell ref="E77:G78"/>
    <mergeCell ref="E71:F71"/>
    <mergeCell ref="E39:E40"/>
    <mergeCell ref="E14:E15"/>
    <mergeCell ref="E36:H36"/>
  </mergeCells>
  <phoneticPr fontId="2" type="noConversion"/>
  <conditionalFormatting sqref="I62">
    <cfRule type="cellIs" dxfId="3" priority="1" stopIfTrue="1" operator="greaterThan">
      <formula>$S$39</formula>
    </cfRule>
  </conditionalFormatting>
  <dataValidations count="2">
    <dataValidation type="list" allowBlank="1" showInputMessage="1" showErrorMessage="1" sqref="F41:F62 F16:F35">
      <formula1>$Y$5:$Y$9</formula1>
    </dataValidation>
    <dataValidation type="list" allowBlank="1" showInputMessage="1" showErrorMessage="1" sqref="G41:G62 G16:G35">
      <formula1>$Z$5:$Z$6</formula1>
    </dataValidation>
  </dataValidations>
  <printOptions horizontalCentered="1"/>
  <pageMargins left="0.55118110236220474" right="0.55118110236220474" top="0.78740157480314965" bottom="0.78740157480314965" header="0.31496062992125984" footer="0.51181102362204722"/>
  <pageSetup paperSize="9" scale="61" orientation="portrait" horizontalDpi="4294967292" r:id="rId1"/>
  <headerFooter alignWithMargins="0"/>
  <cellWatches>
    <cellWatch r="F62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Button 2">
              <controlPr defaultSize="0" print="0" autoFill="0" autoPict="0" macro="[0]!SemComissao">
                <anchor moveWithCells="1" sizeWithCells="1">
                  <from>
                    <xdr:col>13</xdr:col>
                    <xdr:colOff>95250</xdr:colOff>
                    <xdr:row>3</xdr:row>
                    <xdr:rowOff>76200</xdr:rowOff>
                  </from>
                  <to>
                    <xdr:col>14</xdr:col>
                    <xdr:colOff>571500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Button 3">
              <controlPr defaultSize="0" print="0" autoFill="0" autoPict="0" macro="[0]!Com_Comissão">
                <anchor moveWithCells="1" sizeWithCells="1">
                  <from>
                    <xdr:col>13</xdr:col>
                    <xdr:colOff>114300</xdr:colOff>
                    <xdr:row>5</xdr:row>
                    <xdr:rowOff>152400</xdr:rowOff>
                  </from>
                  <to>
                    <xdr:col>14</xdr:col>
                    <xdr:colOff>561975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C308"/>
  <sheetViews>
    <sheetView topLeftCell="A156" workbookViewId="0">
      <selection activeCell="E131" sqref="E131"/>
    </sheetView>
  </sheetViews>
  <sheetFormatPr defaultRowHeight="12.75" x14ac:dyDescent="0.2"/>
  <cols>
    <col min="1" max="2" width="10.140625" style="512" bestFit="1" customWidth="1"/>
    <col min="3" max="3" width="21.140625" style="512" bestFit="1" customWidth="1"/>
    <col min="4" max="16384" width="9.140625" style="512"/>
  </cols>
  <sheetData>
    <row r="1" spans="1:3" x14ac:dyDescent="0.2">
      <c r="B1" s="513">
        <v>36892</v>
      </c>
      <c r="C1" s="513">
        <v>41913</v>
      </c>
    </row>
    <row r="2" spans="1:3" x14ac:dyDescent="0.2">
      <c r="A2" s="513">
        <v>38899</v>
      </c>
      <c r="B2" s="512" t="str">
        <f ca="1">+IF(DATE(YEAR('Proposta 1 Via'!$G$10),MONTH('Proposta 1 Via'!$G$10),DAY(Meses!$B$1))=Meses!A2,0,IF(Meses!A2&lt;'Proposta 1 Via'!$G$10,"",B1+1))</f>
        <v/>
      </c>
      <c r="C2" s="513">
        <v>42036</v>
      </c>
    </row>
    <row r="3" spans="1:3" x14ac:dyDescent="0.2">
      <c r="A3" s="513">
        <v>38930</v>
      </c>
      <c r="B3" s="512" t="str">
        <f ca="1">+IF(DATE(YEAR('Proposta 1 Via'!$G$10),MONTH('Proposta 1 Via'!$G$10),DAY(Meses!$B$1))=Meses!A3,0,IF(Meses!A3&lt;'Proposta 1 Via'!$G$10,"",B2+1))</f>
        <v/>
      </c>
    </row>
    <row r="4" spans="1:3" x14ac:dyDescent="0.2">
      <c r="A4" s="513">
        <v>38961</v>
      </c>
      <c r="B4" s="512" t="str">
        <f ca="1">+IF(DATE(YEAR('Proposta 1 Via'!$G$10),MONTH('Proposta 1 Via'!$G$10),DAY(Meses!$B$1))=Meses!A4,0,IF(Meses!A4&lt;'Proposta 1 Via'!$G$10,"",B3+1))</f>
        <v/>
      </c>
    </row>
    <row r="5" spans="1:3" x14ac:dyDescent="0.2">
      <c r="A5" s="513">
        <v>38991</v>
      </c>
      <c r="B5" s="512" t="str">
        <f ca="1">+IF(DATE(YEAR('Proposta 1 Via'!$G$10),MONTH('Proposta 1 Via'!$G$10),DAY(Meses!$B$1))=Meses!A5,0,IF(Meses!A5&lt;'Proposta 1 Via'!$G$10,"",B4+1))</f>
        <v/>
      </c>
    </row>
    <row r="6" spans="1:3" x14ac:dyDescent="0.2">
      <c r="A6" s="513">
        <v>39022</v>
      </c>
      <c r="B6" s="512" t="str">
        <f ca="1">+IF(DATE(YEAR('Proposta 1 Via'!$G$10),MONTH('Proposta 1 Via'!$G$10),DAY(Meses!$B$1))=Meses!A6,0,IF(Meses!A6&lt;'Proposta 1 Via'!$G$10,"",B5+1))</f>
        <v/>
      </c>
    </row>
    <row r="7" spans="1:3" x14ac:dyDescent="0.2">
      <c r="A7" s="513">
        <v>39052</v>
      </c>
      <c r="B7" s="512" t="str">
        <f ca="1">+IF(DATE(YEAR('Proposta 1 Via'!$G$10),MONTH('Proposta 1 Via'!$G$10),DAY(Meses!$B$1))=Meses!A7,0,IF(Meses!A7&lt;'Proposta 1 Via'!$G$10,"",B6+1))</f>
        <v/>
      </c>
    </row>
    <row r="8" spans="1:3" x14ac:dyDescent="0.2">
      <c r="A8" s="513">
        <v>39083</v>
      </c>
      <c r="B8" s="512" t="str">
        <f ca="1">+IF(DATE(YEAR('Proposta 1 Via'!$G$10),MONTH('Proposta 1 Via'!$G$10),DAY(Meses!$B$1))=Meses!A8,0,IF(Meses!A8&lt;'Proposta 1 Via'!$G$10,"",B7+1))</f>
        <v/>
      </c>
    </row>
    <row r="9" spans="1:3" x14ac:dyDescent="0.2">
      <c r="A9" s="513">
        <v>39114</v>
      </c>
      <c r="B9" s="512" t="str">
        <f ca="1">+IF(DATE(YEAR('Proposta 1 Via'!$G$10),MONTH('Proposta 1 Via'!$G$10),DAY(Meses!$B$1))=Meses!A9,0,IF(Meses!A9&lt;'Proposta 1 Via'!$G$10,"",B8+1))</f>
        <v/>
      </c>
    </row>
    <row r="10" spans="1:3" x14ac:dyDescent="0.2">
      <c r="A10" s="513">
        <v>39142</v>
      </c>
      <c r="B10" s="512" t="str">
        <f ca="1">+IF(DATE(YEAR('Proposta 1 Via'!$G$10),MONTH('Proposta 1 Via'!$G$10),DAY(Meses!$B$1))=Meses!A10,0,IF(Meses!A10&lt;'Proposta 1 Via'!$G$10,"",B9+1))</f>
        <v/>
      </c>
    </row>
    <row r="11" spans="1:3" x14ac:dyDescent="0.2">
      <c r="A11" s="513">
        <v>39173</v>
      </c>
      <c r="B11" s="512" t="str">
        <f ca="1">+IF(DATE(YEAR('Proposta 1 Via'!$G$10),MONTH('Proposta 1 Via'!$G$10),DAY(Meses!$B$1))=Meses!A11,0,IF(Meses!A11&lt;'Proposta 1 Via'!$G$10,"",B10+1))</f>
        <v/>
      </c>
    </row>
    <row r="12" spans="1:3" x14ac:dyDescent="0.2">
      <c r="A12" s="513">
        <v>39203</v>
      </c>
      <c r="B12" s="512" t="str">
        <f ca="1">+IF(DATE(YEAR('Proposta 1 Via'!$G$10),MONTH('Proposta 1 Via'!$G$10),DAY(Meses!$B$1))=Meses!A12,0,IF(Meses!A12&lt;'Proposta 1 Via'!$G$10,"",B11+1))</f>
        <v/>
      </c>
    </row>
    <row r="13" spans="1:3" x14ac:dyDescent="0.2">
      <c r="A13" s="513">
        <v>39234</v>
      </c>
      <c r="B13" s="512" t="str">
        <f ca="1">+IF(DATE(YEAR('Proposta 1 Via'!$G$10),MONTH('Proposta 1 Via'!$G$10),DAY(Meses!$B$1))=Meses!A13,0,IF(Meses!A13&lt;'Proposta 1 Via'!$G$10,"",B12+1))</f>
        <v/>
      </c>
    </row>
    <row r="14" spans="1:3" x14ac:dyDescent="0.2">
      <c r="A14" s="513">
        <v>39264</v>
      </c>
      <c r="B14" s="512" t="str">
        <f ca="1">+IF(DATE(YEAR('Proposta 1 Via'!$G$10),MONTH('Proposta 1 Via'!$G$10),DAY(Meses!$B$1))=Meses!A14,0,IF(Meses!A14&lt;'Proposta 1 Via'!$G$10,"",B13+1))</f>
        <v/>
      </c>
    </row>
    <row r="15" spans="1:3" x14ac:dyDescent="0.2">
      <c r="A15" s="513">
        <v>39295</v>
      </c>
      <c r="B15" s="512" t="str">
        <f ca="1">+IF(DATE(YEAR('Proposta 1 Via'!$G$10),MONTH('Proposta 1 Via'!$G$10),DAY(Meses!$B$1))=Meses!A15,0,IF(Meses!A15&lt;'Proposta 1 Via'!$G$10,"",B14+1))</f>
        <v/>
      </c>
    </row>
    <row r="16" spans="1:3" x14ac:dyDescent="0.2">
      <c r="A16" s="513">
        <v>39326</v>
      </c>
      <c r="B16" s="512" t="str">
        <f ca="1">+IF(DATE(YEAR('Proposta 1 Via'!$G$10),MONTH('Proposta 1 Via'!$G$10),DAY(Meses!$B$1))=Meses!A16,0,IF(Meses!A16&lt;'Proposta 1 Via'!$G$10,"",B15+1))</f>
        <v/>
      </c>
    </row>
    <row r="17" spans="1:2" x14ac:dyDescent="0.2">
      <c r="A17" s="513">
        <v>39356</v>
      </c>
      <c r="B17" s="512" t="str">
        <f ca="1">+IF(DATE(YEAR('Proposta 1 Via'!$G$10),MONTH('Proposta 1 Via'!$G$10),DAY(Meses!$B$1))=Meses!A17,0,IF(Meses!A17&lt;'Proposta 1 Via'!$G$10,"",B16+1))</f>
        <v/>
      </c>
    </row>
    <row r="18" spans="1:2" x14ac:dyDescent="0.2">
      <c r="A18" s="513">
        <v>39387</v>
      </c>
      <c r="B18" s="512" t="str">
        <f ca="1">+IF(DATE(YEAR('Proposta 1 Via'!$G$10),MONTH('Proposta 1 Via'!$G$10),DAY(Meses!$B$1))=Meses!A18,0,IF(Meses!A18&lt;'Proposta 1 Via'!$G$10,"",B17+1))</f>
        <v/>
      </c>
    </row>
    <row r="19" spans="1:2" x14ac:dyDescent="0.2">
      <c r="A19" s="513">
        <v>39417</v>
      </c>
      <c r="B19" s="512" t="str">
        <f ca="1">+IF(DATE(YEAR('Proposta 1 Via'!$G$10),MONTH('Proposta 1 Via'!$G$10),DAY(Meses!$B$1))=Meses!A19,0,IF(Meses!A19&lt;'Proposta 1 Via'!$G$10,"",B18+1))</f>
        <v/>
      </c>
    </row>
    <row r="20" spans="1:2" x14ac:dyDescent="0.2">
      <c r="A20" s="513">
        <v>39448</v>
      </c>
      <c r="B20" s="512" t="str">
        <f ca="1">+IF(DATE(YEAR('Proposta 1 Via'!$G$10),MONTH('Proposta 1 Via'!$G$10),DAY(Meses!$B$1))=Meses!A20,0,IF(Meses!A20&lt;'Proposta 1 Via'!$G$10,"",B19+1))</f>
        <v/>
      </c>
    </row>
    <row r="21" spans="1:2" x14ac:dyDescent="0.2">
      <c r="A21" s="513">
        <v>39479</v>
      </c>
      <c r="B21" s="512" t="str">
        <f ca="1">+IF(DATE(YEAR('Proposta 1 Via'!$G$10),MONTH('Proposta 1 Via'!$G$10),DAY(Meses!$B$1))=Meses!A21,0,IF(Meses!A21&lt;'Proposta 1 Via'!$G$10,"",B20+1))</f>
        <v/>
      </c>
    </row>
    <row r="22" spans="1:2" x14ac:dyDescent="0.2">
      <c r="A22" s="513">
        <v>39508</v>
      </c>
      <c r="B22" s="512" t="str">
        <f ca="1">+IF(DATE(YEAR('Proposta 1 Via'!$G$10),MONTH('Proposta 1 Via'!$G$10),DAY(Meses!$B$1))=Meses!A22,0,IF(Meses!A22&lt;'Proposta 1 Via'!$G$10,"",B21+1))</f>
        <v/>
      </c>
    </row>
    <row r="23" spans="1:2" x14ac:dyDescent="0.2">
      <c r="A23" s="513">
        <v>39539</v>
      </c>
      <c r="B23" s="512" t="str">
        <f ca="1">+IF(DATE(YEAR('Proposta 1 Via'!$G$10),MONTH('Proposta 1 Via'!$G$10),DAY(Meses!$B$1))=Meses!A23,0,IF(Meses!A23&lt;'Proposta 1 Via'!$G$10,"",B22+1))</f>
        <v/>
      </c>
    </row>
    <row r="24" spans="1:2" x14ac:dyDescent="0.2">
      <c r="A24" s="513">
        <v>39569</v>
      </c>
      <c r="B24" s="512" t="str">
        <f ca="1">+IF(DATE(YEAR('Proposta 1 Via'!$G$10),MONTH('Proposta 1 Via'!$G$10),DAY(Meses!$B$1))=Meses!A24,0,IF(Meses!A24&lt;'Proposta 1 Via'!$G$10,"",B23+1))</f>
        <v/>
      </c>
    </row>
    <row r="25" spans="1:2" x14ac:dyDescent="0.2">
      <c r="A25" s="513">
        <v>39600</v>
      </c>
      <c r="B25" s="512" t="str">
        <f ca="1">+IF(DATE(YEAR('Proposta 1 Via'!$G$10),MONTH('Proposta 1 Via'!$G$10),DAY(Meses!$B$1))=Meses!A25,0,IF(Meses!A25&lt;'Proposta 1 Via'!$G$10,"",B24+1))</f>
        <v/>
      </c>
    </row>
    <row r="26" spans="1:2" x14ac:dyDescent="0.2">
      <c r="A26" s="513">
        <v>39630</v>
      </c>
      <c r="B26" s="512" t="str">
        <f ca="1">+IF(DATE(YEAR('Proposta 1 Via'!$G$10),MONTH('Proposta 1 Via'!$G$10),DAY(Meses!$B$1))=Meses!A26,0,IF(Meses!A26&lt;'Proposta 1 Via'!$G$10,"",B25+1))</f>
        <v/>
      </c>
    </row>
    <row r="27" spans="1:2" x14ac:dyDescent="0.2">
      <c r="A27" s="513">
        <v>39661</v>
      </c>
      <c r="B27" s="512" t="str">
        <f ca="1">+IF(DATE(YEAR('Proposta 1 Via'!$G$10),MONTH('Proposta 1 Via'!$G$10),DAY(Meses!$B$1))=Meses!A27,0,IF(Meses!A27&lt;'Proposta 1 Via'!$G$10,"",B26+1))</f>
        <v/>
      </c>
    </row>
    <row r="28" spans="1:2" x14ac:dyDescent="0.2">
      <c r="A28" s="513">
        <v>39692</v>
      </c>
      <c r="B28" s="512" t="str">
        <f ca="1">+IF(DATE(YEAR('Proposta 1 Via'!$G$10),MONTH('Proposta 1 Via'!$G$10),DAY(Meses!$B$1))=Meses!A28,0,IF(Meses!A28&lt;'Proposta 1 Via'!$G$10,"",B27+1))</f>
        <v/>
      </c>
    </row>
    <row r="29" spans="1:2" x14ac:dyDescent="0.2">
      <c r="A29" s="513">
        <v>39722</v>
      </c>
      <c r="B29" s="512" t="str">
        <f ca="1">+IF(DATE(YEAR('Proposta 1 Via'!$G$10),MONTH('Proposta 1 Via'!$G$10),DAY(Meses!$B$1))=Meses!A29,0,IF(Meses!A29&lt;'Proposta 1 Via'!$G$10,"",B28+1))</f>
        <v/>
      </c>
    </row>
    <row r="30" spans="1:2" x14ac:dyDescent="0.2">
      <c r="A30" s="513">
        <v>39753</v>
      </c>
      <c r="B30" s="512" t="str">
        <f ca="1">+IF(DATE(YEAR('Proposta 1 Via'!$G$10),MONTH('Proposta 1 Via'!$G$10),DAY(Meses!$B$1))=Meses!A30,0,IF(Meses!A30&lt;'Proposta 1 Via'!$G$10,"",B29+1))</f>
        <v/>
      </c>
    </row>
    <row r="31" spans="1:2" x14ac:dyDescent="0.2">
      <c r="A31" s="513">
        <v>39783</v>
      </c>
      <c r="B31" s="512" t="str">
        <f ca="1">+IF(DATE(YEAR('Proposta 1 Via'!$G$10),MONTH('Proposta 1 Via'!$G$10),DAY(Meses!$B$1))=Meses!A31,0,IF(Meses!A31&lt;'Proposta 1 Via'!$G$10,"",B30+1))</f>
        <v/>
      </c>
    </row>
    <row r="32" spans="1:2" x14ac:dyDescent="0.2">
      <c r="A32" s="513">
        <v>39814</v>
      </c>
      <c r="B32" s="512" t="str">
        <f ca="1">+IF(DATE(YEAR('Proposta 1 Via'!$G$10),MONTH('Proposta 1 Via'!$G$10),DAY(Meses!$B$1))=Meses!A32,0,IF(Meses!A32&lt;'Proposta 1 Via'!$G$10,"",B31+1))</f>
        <v/>
      </c>
    </row>
    <row r="33" spans="1:2" x14ac:dyDescent="0.2">
      <c r="A33" s="513">
        <v>39845</v>
      </c>
      <c r="B33" s="512" t="str">
        <f ca="1">+IF(DATE(YEAR('Proposta 1 Via'!$G$10),MONTH('Proposta 1 Via'!$G$10),DAY(Meses!$B$1))=Meses!A33,0,IF(Meses!A33&lt;'Proposta 1 Via'!$G$10,"",B32+1))</f>
        <v/>
      </c>
    </row>
    <row r="34" spans="1:2" x14ac:dyDescent="0.2">
      <c r="A34" s="513">
        <v>39873</v>
      </c>
      <c r="B34" s="512" t="str">
        <f ca="1">+IF(DATE(YEAR('Proposta 1 Via'!$G$10),MONTH('Proposta 1 Via'!$G$10),DAY(Meses!$B$1))=Meses!A34,0,IF(Meses!A34&lt;'Proposta 1 Via'!$G$10,"",B33+1))</f>
        <v/>
      </c>
    </row>
    <row r="35" spans="1:2" x14ac:dyDescent="0.2">
      <c r="A35" s="513">
        <v>39904</v>
      </c>
      <c r="B35" s="512" t="str">
        <f ca="1">+IF(DATE(YEAR('Proposta 1 Via'!$G$10),MONTH('Proposta 1 Via'!$G$10),DAY(Meses!$B$1))=Meses!A35,0,IF(Meses!A35&lt;'Proposta 1 Via'!$G$10,"",B34+1))</f>
        <v/>
      </c>
    </row>
    <row r="36" spans="1:2" x14ac:dyDescent="0.2">
      <c r="A36" s="513">
        <v>39934</v>
      </c>
      <c r="B36" s="512" t="str">
        <f ca="1">+IF(DATE(YEAR('Proposta 1 Via'!$G$10),MONTH('Proposta 1 Via'!$G$10),DAY(Meses!$B$1))=Meses!A36,0,IF(Meses!A36&lt;'Proposta 1 Via'!$G$10,"",B35+1))</f>
        <v/>
      </c>
    </row>
    <row r="37" spans="1:2" x14ac:dyDescent="0.2">
      <c r="A37" s="513">
        <v>39965</v>
      </c>
      <c r="B37" s="512" t="str">
        <f ca="1">+IF(DATE(YEAR('Proposta 1 Via'!$G$10),MONTH('Proposta 1 Via'!$G$10),DAY(Meses!$B$1))=Meses!A37,0,IF(Meses!A37&lt;'Proposta 1 Via'!$G$10,"",B36+1))</f>
        <v/>
      </c>
    </row>
    <row r="38" spans="1:2" x14ac:dyDescent="0.2">
      <c r="A38" s="513">
        <v>39995</v>
      </c>
      <c r="B38" s="512" t="str">
        <f ca="1">+IF(DATE(YEAR('Proposta 1 Via'!$G$10),MONTH('Proposta 1 Via'!$G$10),DAY(Meses!$B$1))=Meses!A38,0,IF(Meses!A38&lt;'Proposta 1 Via'!$G$10,"",B37+1))</f>
        <v/>
      </c>
    </row>
    <row r="39" spans="1:2" x14ac:dyDescent="0.2">
      <c r="A39" s="513">
        <v>40026</v>
      </c>
      <c r="B39" s="512" t="str">
        <f ca="1">+IF(DATE(YEAR('Proposta 1 Via'!$G$10),MONTH('Proposta 1 Via'!$G$10),DAY(Meses!$B$1))=Meses!A39,0,IF(Meses!A39&lt;'Proposta 1 Via'!$G$10,"",B38+1))</f>
        <v/>
      </c>
    </row>
    <row r="40" spans="1:2" x14ac:dyDescent="0.2">
      <c r="A40" s="513">
        <v>40057</v>
      </c>
      <c r="B40" s="512" t="str">
        <f ca="1">+IF(DATE(YEAR('Proposta 1 Via'!$G$10),MONTH('Proposta 1 Via'!$G$10),DAY(Meses!$B$1))=Meses!A40,0,IF(Meses!A40&lt;'Proposta 1 Via'!$G$10,"",B39+1))</f>
        <v/>
      </c>
    </row>
    <row r="41" spans="1:2" x14ac:dyDescent="0.2">
      <c r="A41" s="513">
        <v>40087</v>
      </c>
      <c r="B41" s="512" t="str">
        <f ca="1">+IF(DATE(YEAR('Proposta 1 Via'!$G$10),MONTH('Proposta 1 Via'!$G$10),DAY(Meses!$B$1))=Meses!A41,0,IF(Meses!A41&lt;'Proposta 1 Via'!$G$10,"",B40+1))</f>
        <v/>
      </c>
    </row>
    <row r="42" spans="1:2" x14ac:dyDescent="0.2">
      <c r="A42" s="513">
        <v>40118</v>
      </c>
      <c r="B42" s="512" t="str">
        <f ca="1">+IF(DATE(YEAR('Proposta 1 Via'!$G$10),MONTH('Proposta 1 Via'!$G$10),DAY(Meses!$B$1))=Meses!A42,0,IF(Meses!A42&lt;'Proposta 1 Via'!$G$10,"",B41+1))</f>
        <v/>
      </c>
    </row>
    <row r="43" spans="1:2" x14ac:dyDescent="0.2">
      <c r="A43" s="513">
        <v>40148</v>
      </c>
      <c r="B43" s="512" t="str">
        <f ca="1">+IF(DATE(YEAR('Proposta 1 Via'!$G$10),MONTH('Proposta 1 Via'!$G$10),DAY(Meses!$B$1))=Meses!A43,0,IF(Meses!A43&lt;'Proposta 1 Via'!$G$10,"",B42+1))</f>
        <v/>
      </c>
    </row>
    <row r="44" spans="1:2" x14ac:dyDescent="0.2">
      <c r="A44" s="513">
        <v>40179</v>
      </c>
      <c r="B44" s="512" t="str">
        <f ca="1">+IF(DATE(YEAR('Proposta 1 Via'!$G$10),MONTH('Proposta 1 Via'!$G$10),DAY(Meses!$B$1))=Meses!A44,0,IF(Meses!A44&lt;'Proposta 1 Via'!$G$10,"",B43+1))</f>
        <v/>
      </c>
    </row>
    <row r="45" spans="1:2" x14ac:dyDescent="0.2">
      <c r="A45" s="513">
        <v>40210</v>
      </c>
      <c r="B45" s="512" t="str">
        <f ca="1">+IF(DATE(YEAR('Proposta 1 Via'!$G$10),MONTH('Proposta 1 Via'!$G$10),DAY(Meses!$B$1))=Meses!A45,0,IF(Meses!A45&lt;'Proposta 1 Via'!$G$10,"",B44+1))</f>
        <v/>
      </c>
    </row>
    <row r="46" spans="1:2" x14ac:dyDescent="0.2">
      <c r="A46" s="513">
        <v>40238</v>
      </c>
      <c r="B46" s="512" t="str">
        <f ca="1">+IF(DATE(YEAR('Proposta 1 Via'!$G$10),MONTH('Proposta 1 Via'!$G$10),DAY(Meses!$B$1))=Meses!A46,0,IF(Meses!A46&lt;'Proposta 1 Via'!$G$10,"",B45+1))</f>
        <v/>
      </c>
    </row>
    <row r="47" spans="1:2" x14ac:dyDescent="0.2">
      <c r="A47" s="513">
        <v>40269</v>
      </c>
      <c r="B47" s="512" t="str">
        <f ca="1">+IF(DATE(YEAR('Proposta 1 Via'!$G$10),MONTH('Proposta 1 Via'!$G$10),DAY(Meses!$B$1))=Meses!A47,0,IF(Meses!A47&lt;'Proposta 1 Via'!$G$10,"",B46+1))</f>
        <v/>
      </c>
    </row>
    <row r="48" spans="1:2" x14ac:dyDescent="0.2">
      <c r="A48" s="513">
        <v>40299</v>
      </c>
      <c r="B48" s="512" t="str">
        <f ca="1">+IF(DATE(YEAR('Proposta 1 Via'!$G$10),MONTH('Proposta 1 Via'!$G$10),DAY(Meses!$B$1))=Meses!A48,0,IF(Meses!A48&lt;'Proposta 1 Via'!$G$10,"",B47+1))</f>
        <v/>
      </c>
    </row>
    <row r="49" spans="1:2" x14ac:dyDescent="0.2">
      <c r="A49" s="513">
        <v>40330</v>
      </c>
      <c r="B49" s="512" t="str">
        <f ca="1">+IF(DATE(YEAR('Proposta 1 Via'!$G$10),MONTH('Proposta 1 Via'!$G$10),DAY(Meses!$B$1))=Meses!A49,0,IF(Meses!A49&lt;'Proposta 1 Via'!$G$10,"",B48+1))</f>
        <v/>
      </c>
    </row>
    <row r="50" spans="1:2" x14ac:dyDescent="0.2">
      <c r="A50" s="513">
        <v>40360</v>
      </c>
      <c r="B50" s="512" t="str">
        <f ca="1">+IF(DATE(YEAR('Proposta 1 Via'!$G$10),MONTH('Proposta 1 Via'!$G$10),DAY(Meses!$B$1))=Meses!A50,0,IF(Meses!A50&lt;'Proposta 1 Via'!$G$10,"",B49+1))</f>
        <v/>
      </c>
    </row>
    <row r="51" spans="1:2" x14ac:dyDescent="0.2">
      <c r="A51" s="513">
        <v>40391</v>
      </c>
      <c r="B51" s="512" t="str">
        <f ca="1">+IF(DATE(YEAR('Proposta 1 Via'!$G$10),MONTH('Proposta 1 Via'!$G$10),DAY(Meses!$B$1))=Meses!A51,0,IF(Meses!A51&lt;'Proposta 1 Via'!$G$10,"",B50+1))</f>
        <v/>
      </c>
    </row>
    <row r="52" spans="1:2" x14ac:dyDescent="0.2">
      <c r="A52" s="513">
        <v>40422</v>
      </c>
      <c r="B52" s="512" t="str">
        <f ca="1">+IF(DATE(YEAR('Proposta 1 Via'!$G$10),MONTH('Proposta 1 Via'!$G$10),DAY(Meses!$B$1))=Meses!A52,0,IF(Meses!A52&lt;'Proposta 1 Via'!$G$10,"",B51+1))</f>
        <v/>
      </c>
    </row>
    <row r="53" spans="1:2" x14ac:dyDescent="0.2">
      <c r="A53" s="513">
        <v>40452</v>
      </c>
    </row>
    <row r="54" spans="1:2" x14ac:dyDescent="0.2">
      <c r="A54" s="513">
        <v>40483</v>
      </c>
    </row>
    <row r="55" spans="1:2" x14ac:dyDescent="0.2">
      <c r="A55" s="513">
        <v>40513</v>
      </c>
    </row>
    <row r="56" spans="1:2" x14ac:dyDescent="0.2">
      <c r="A56" s="513">
        <v>40544</v>
      </c>
    </row>
    <row r="57" spans="1:2" x14ac:dyDescent="0.2">
      <c r="A57" s="513">
        <v>40575</v>
      </c>
    </row>
    <row r="58" spans="1:2" x14ac:dyDescent="0.2">
      <c r="A58" s="513">
        <v>40603</v>
      </c>
    </row>
    <row r="59" spans="1:2" x14ac:dyDescent="0.2">
      <c r="A59" s="513">
        <v>40634</v>
      </c>
    </row>
    <row r="60" spans="1:2" x14ac:dyDescent="0.2">
      <c r="A60" s="513">
        <v>40664</v>
      </c>
    </row>
    <row r="61" spans="1:2" x14ac:dyDescent="0.2">
      <c r="A61" s="513">
        <v>40695</v>
      </c>
    </row>
    <row r="62" spans="1:2" x14ac:dyDescent="0.2">
      <c r="A62" s="513">
        <v>40725</v>
      </c>
    </row>
    <row r="63" spans="1:2" x14ac:dyDescent="0.2">
      <c r="A63" s="513">
        <v>40756</v>
      </c>
    </row>
    <row r="64" spans="1:2" x14ac:dyDescent="0.2">
      <c r="A64" s="513">
        <v>40787</v>
      </c>
    </row>
    <row r="65" spans="1:3" x14ac:dyDescent="0.2">
      <c r="A65" s="513">
        <v>40817</v>
      </c>
      <c r="B65" s="512" t="str">
        <f ca="1">+IF(DATE(YEAR('Proposta 1 Via'!$G$10),MONTH('Proposta 1 Via'!$G$10),DAY(Meses!$B$1))=Meses!A65,0,IF(Meses!A65&lt;'Proposta 1 Via'!$G$10,"",B64+1))</f>
        <v/>
      </c>
    </row>
    <row r="66" spans="1:3" x14ac:dyDescent="0.2">
      <c r="A66" s="513">
        <v>40848</v>
      </c>
      <c r="B66" s="512" t="str">
        <f ca="1">+IF(DATE(YEAR('Proposta 1 Via'!$G$10),MONTH('Proposta 1 Via'!$G$10),DAY(Meses!$B$1))=Meses!A66,0,IF(Meses!A66&lt;'Proposta 1 Via'!$G$10,"",B65+1))</f>
        <v/>
      </c>
    </row>
    <row r="67" spans="1:3" x14ac:dyDescent="0.2">
      <c r="A67" s="513">
        <v>40878</v>
      </c>
      <c r="B67" s="512" t="str">
        <f ca="1">+IF(DATE(YEAR('Proposta 1 Via'!$G$10),MONTH('Proposta 1 Via'!$G$10),DAY(Meses!$B$1))=Meses!A67,0,IF(Meses!A67&lt;'Proposta 1 Via'!$G$10,"",B66+1))</f>
        <v/>
      </c>
    </row>
    <row r="68" spans="1:3" x14ac:dyDescent="0.2">
      <c r="A68" s="513">
        <v>40909</v>
      </c>
      <c r="B68" s="512" t="str">
        <f ca="1">+IF(DATE(YEAR('Proposta 1 Via'!$G$10),MONTH('Proposta 1 Via'!$G$10),DAY(Meses!$B$1))=Meses!A68,0,IF(Meses!A68&lt;'Proposta 1 Via'!$G$10,"",B67+1))</f>
        <v/>
      </c>
    </row>
    <row r="69" spans="1:3" x14ac:dyDescent="0.2">
      <c r="A69" s="513">
        <v>40940</v>
      </c>
      <c r="B69" s="512" t="str">
        <f ca="1">+IF(DATE(YEAR('Proposta 1 Via'!$G$10),MONTH('Proposta 1 Via'!$G$10),DAY(Meses!$B$1))=Meses!A69,0,IF(Meses!A69&lt;'Proposta 1 Via'!$G$10,"",B68+1))</f>
        <v/>
      </c>
    </row>
    <row r="70" spans="1:3" x14ac:dyDescent="0.2">
      <c r="A70" s="513">
        <v>40969</v>
      </c>
      <c r="B70" s="512" t="str">
        <f ca="1">+IF(DATE(YEAR('Proposta 1 Via'!$G$10),MONTH('Proposta 1 Via'!$G$10),DAY(Meses!$B$1))=Meses!A70,0,IF(Meses!A70&lt;'Proposta 1 Via'!$G$10,"",B69+1))</f>
        <v/>
      </c>
    </row>
    <row r="71" spans="1:3" x14ac:dyDescent="0.2">
      <c r="A71" s="513">
        <v>41000</v>
      </c>
      <c r="B71" s="512" t="str">
        <f ca="1">+IF(DATE(YEAR('Proposta 1 Via'!$G$10),MONTH('Proposta 1 Via'!$G$10),DAY(Meses!$B$1))=Meses!A71,0,IF(Meses!A71&lt;'Proposta 1 Via'!$G$10,"",B70+1))</f>
        <v/>
      </c>
    </row>
    <row r="72" spans="1:3" x14ac:dyDescent="0.2">
      <c r="A72" s="513">
        <v>41030</v>
      </c>
      <c r="B72" s="512" t="str">
        <f ca="1">+IF(DATE(YEAR('Proposta 1 Via'!$G$10),MONTH('Proposta 1 Via'!$G$10),DAY(Meses!$B$1))=Meses!A72,0,IF(Meses!A72&lt;'Proposta 1 Via'!$G$10,"",B71+1))</f>
        <v/>
      </c>
    </row>
    <row r="73" spans="1:3" x14ac:dyDescent="0.2">
      <c r="A73" s="513">
        <v>41061</v>
      </c>
      <c r="B73" s="512" t="str">
        <f ca="1">+IF(DATE(YEAR('Proposta 1 Via'!$G$10),MONTH('Proposta 1 Via'!$G$10),DAY(Meses!$B$1))=Meses!A73,0,IF(Meses!A73&lt;'Proposta 1 Via'!$G$10,"",B72+1))</f>
        <v/>
      </c>
    </row>
    <row r="74" spans="1:3" x14ac:dyDescent="0.2">
      <c r="A74" s="513">
        <v>41091</v>
      </c>
    </row>
    <row r="75" spans="1:3" x14ac:dyDescent="0.2">
      <c r="A75" s="513">
        <v>41122</v>
      </c>
    </row>
    <row r="76" spans="1:3" x14ac:dyDescent="0.2">
      <c r="A76" s="513">
        <v>41153</v>
      </c>
    </row>
    <row r="77" spans="1:3" x14ac:dyDescent="0.2">
      <c r="A77" s="513">
        <v>41183</v>
      </c>
      <c r="B77" s="512" t="str">
        <f ca="1">+IF(DATE(YEAR('Proposta 1 Via'!$G$10),MONTH('Proposta 1 Via'!$G$10),DAY(Meses!$B$1))=Meses!A77,0,IF(Meses!A77&lt;'Proposta 1 Via'!$G$10,"",B76+1))</f>
        <v/>
      </c>
      <c r="C77" s="512" t="str">
        <f ca="1">IF(B77=4,"Financiamento",IF(A77=$C$1,"Chaves",IF(A77=$C$2,"Chaves Contrato/Cliente","")))</f>
        <v/>
      </c>
    </row>
    <row r="78" spans="1:3" x14ac:dyDescent="0.2">
      <c r="A78" s="513">
        <v>41214</v>
      </c>
      <c r="B78" s="512" t="str">
        <f ca="1">+IF(DATE(YEAR('Proposta 1 Via'!$G$10),MONTH('Proposta 1 Via'!$G$10),DAY(Meses!$B$1))=Meses!A78,0,IF(Meses!A78&lt;'Proposta 1 Via'!$G$10,"",B77+1))</f>
        <v/>
      </c>
      <c r="C78" s="512" t="str">
        <f ca="1">IF(B78=4,"Financiamento",IF(A78=$C$1,"Chaves",IF(A78=$C$2,"Chaves Contrato/Cliente","")))</f>
        <v/>
      </c>
    </row>
    <row r="79" spans="1:3" x14ac:dyDescent="0.2">
      <c r="A79" s="513">
        <v>41244</v>
      </c>
    </row>
    <row r="80" spans="1:3" x14ac:dyDescent="0.2">
      <c r="A80" s="513">
        <v>41275</v>
      </c>
    </row>
    <row r="81" spans="1:1" x14ac:dyDescent="0.2">
      <c r="A81" s="513">
        <v>41306</v>
      </c>
    </row>
    <row r="82" spans="1:1" x14ac:dyDescent="0.2">
      <c r="A82" s="513">
        <v>41334</v>
      </c>
    </row>
    <row r="83" spans="1:1" x14ac:dyDescent="0.2">
      <c r="A83" s="513">
        <v>41365</v>
      </c>
    </row>
    <row r="84" spans="1:1" x14ac:dyDescent="0.2">
      <c r="A84" s="513">
        <v>41395</v>
      </c>
    </row>
    <row r="85" spans="1:1" x14ac:dyDescent="0.2">
      <c r="A85" s="513">
        <v>41426</v>
      </c>
    </row>
    <row r="86" spans="1:1" x14ac:dyDescent="0.2">
      <c r="A86" s="513">
        <v>41456</v>
      </c>
    </row>
    <row r="87" spans="1:1" x14ac:dyDescent="0.2">
      <c r="A87" s="513">
        <v>41487</v>
      </c>
    </row>
    <row r="88" spans="1:1" x14ac:dyDescent="0.2">
      <c r="A88" s="513">
        <v>41518</v>
      </c>
    </row>
    <row r="89" spans="1:1" x14ac:dyDescent="0.2">
      <c r="A89" s="513">
        <v>41548</v>
      </c>
    </row>
    <row r="90" spans="1:1" x14ac:dyDescent="0.2">
      <c r="A90" s="513">
        <v>41579</v>
      </c>
    </row>
    <row r="91" spans="1:1" x14ac:dyDescent="0.2">
      <c r="A91" s="513">
        <v>41609</v>
      </c>
    </row>
    <row r="92" spans="1:1" x14ac:dyDescent="0.2">
      <c r="A92" s="513">
        <v>41640</v>
      </c>
    </row>
    <row r="93" spans="1:1" x14ac:dyDescent="0.2">
      <c r="A93" s="513">
        <v>41671</v>
      </c>
    </row>
    <row r="94" spans="1:1" x14ac:dyDescent="0.2">
      <c r="A94" s="513">
        <v>41699</v>
      </c>
    </row>
    <row r="95" spans="1:1" x14ac:dyDescent="0.2">
      <c r="A95" s="513">
        <v>41730</v>
      </c>
    </row>
    <row r="96" spans="1:1" x14ac:dyDescent="0.2">
      <c r="A96" s="513">
        <v>41760</v>
      </c>
    </row>
    <row r="97" spans="1:3" x14ac:dyDescent="0.2">
      <c r="A97" s="513">
        <v>41791</v>
      </c>
    </row>
    <row r="98" spans="1:3" x14ac:dyDescent="0.2">
      <c r="A98" s="513">
        <v>41821</v>
      </c>
    </row>
    <row r="99" spans="1:3" x14ac:dyDescent="0.2">
      <c r="A99" s="513">
        <v>41852</v>
      </c>
    </row>
    <row r="100" spans="1:3" x14ac:dyDescent="0.2">
      <c r="A100" s="513">
        <v>41883</v>
      </c>
    </row>
    <row r="101" spans="1:3" x14ac:dyDescent="0.2">
      <c r="A101" s="513">
        <v>41913</v>
      </c>
    </row>
    <row r="102" spans="1:3" x14ac:dyDescent="0.2">
      <c r="A102" s="513">
        <v>41944</v>
      </c>
    </row>
    <row r="103" spans="1:3" x14ac:dyDescent="0.2">
      <c r="A103" s="528">
        <v>41974</v>
      </c>
    </row>
    <row r="104" spans="1:3" x14ac:dyDescent="0.2">
      <c r="A104" s="513">
        <v>42005</v>
      </c>
    </row>
    <row r="105" spans="1:3" x14ac:dyDescent="0.2">
      <c r="A105" s="513">
        <v>42036</v>
      </c>
    </row>
    <row r="106" spans="1:3" x14ac:dyDescent="0.2">
      <c r="A106" s="513">
        <v>42064</v>
      </c>
    </row>
    <row r="107" spans="1:3" x14ac:dyDescent="0.2">
      <c r="A107" s="513">
        <v>42095</v>
      </c>
      <c r="B107" s="512" t="str">
        <f ca="1">+IF(DATE(YEAR('Proposta 1 Via'!$G$10),MONTH('Proposta 1 Via'!$G$10),DAY(Meses!$B$1))=Meses!A107,0,IF(Meses!A107&lt;'Proposta 1 Via'!$G$10,"",B106+1))</f>
        <v/>
      </c>
    </row>
    <row r="108" spans="1:3" x14ac:dyDescent="0.2">
      <c r="A108" s="528">
        <v>42125</v>
      </c>
      <c r="B108" s="512">
        <v>0</v>
      </c>
      <c r="C108" s="394" t="s">
        <v>292</v>
      </c>
    </row>
    <row r="109" spans="1:3" x14ac:dyDescent="0.2">
      <c r="A109" s="513">
        <v>42156</v>
      </c>
      <c r="B109" s="512" t="str">
        <f ca="1">+IF(DATE(YEAR('Proposta 1 Via'!$G$10),MONTH('Proposta 1 Via'!$G$10),DAY(Meses!$B$1))=Meses!A109,0,IF(Meses!A109&lt;'Proposta 1 Via'!$G$10,"",B108+1))</f>
        <v/>
      </c>
      <c r="C109" s="512" t="str">
        <f ca="1">IF(B109=4,"Financiamento",IF(A109=$C$1,"Chaves",IF(A109=$C$2,"Chaves Contrato/Cliente","")))</f>
        <v/>
      </c>
    </row>
    <row r="110" spans="1:3" x14ac:dyDescent="0.2">
      <c r="A110" s="513">
        <v>42186</v>
      </c>
      <c r="B110" s="512" t="str">
        <f ca="1">+IF(DATE(YEAR('Proposta 1 Via'!$G$10),MONTH('Proposta 1 Via'!$G$10),DAY(Meses!$B$1))=Meses!A110,0,IF(Meses!A110&lt;'Proposta 1 Via'!$G$10,"",B109+1))</f>
        <v/>
      </c>
      <c r="C110" s="512" t="str">
        <f ca="1">IF(B110=4,"Financiamento",IF(A110=$C$1,"Chaves",IF(A110=$C$2,"Chaves Contrato/Cliente","")))</f>
        <v/>
      </c>
    </row>
    <row r="111" spans="1:3" x14ac:dyDescent="0.2">
      <c r="A111" s="513">
        <v>42217</v>
      </c>
      <c r="B111" s="512">
        <v>0</v>
      </c>
      <c r="C111" s="512" t="str">
        <f>IF(B111=4,"Financiamento",IF(A111=$C$1,"Chaves",IF(A111=$C$2,"Chaves Contrato/Cliente","")))</f>
        <v/>
      </c>
    </row>
    <row r="112" spans="1:3" x14ac:dyDescent="0.2">
      <c r="A112" s="513">
        <v>42248</v>
      </c>
      <c r="B112" s="512">
        <v>0</v>
      </c>
    </row>
    <row r="113" spans="1:3" x14ac:dyDescent="0.2">
      <c r="A113" s="513">
        <v>42278</v>
      </c>
      <c r="B113" s="512" t="str">
        <f ca="1">+IF(DATE(YEAR('Proposta 1 Via'!$G$10),MONTH('Proposta 1 Via'!$G$10),DAY(Meses!$B$1))=Meses!A113,0,IF(Meses!A113&lt;'Proposta 1 Via'!$G$10,"",B112+1))</f>
        <v/>
      </c>
      <c r="C113" s="512" t="str">
        <f ca="1">IF(B113=4,"Financiamento",IF(A113=$C$1,"Chaves",IF(A113=$C$2,"Chaves Contrato/Cliente","")))</f>
        <v/>
      </c>
    </row>
    <row r="114" spans="1:3" x14ac:dyDescent="0.2">
      <c r="A114" s="513">
        <v>42309</v>
      </c>
      <c r="B114" s="512" t="str">
        <f ca="1">+IF(DATE(YEAR('Proposta 1 Via'!$G$10),MONTH('Proposta 1 Via'!$G$10),DAY(Meses!$B$1))=Meses!A114,0,IF(Meses!A114&lt;'Proposta 1 Via'!$G$10,"",B113+1))</f>
        <v/>
      </c>
      <c r="C114" s="512" t="str">
        <f ca="1">IF(B114=4,"Financiamento",IF(A114=$C$1,"Chaves",IF(A114=$C$2,"Chaves Contrato/Cliente","")))</f>
        <v/>
      </c>
    </row>
    <row r="115" spans="1:3" x14ac:dyDescent="0.2">
      <c r="A115" s="513">
        <v>42339</v>
      </c>
      <c r="B115" s="512">
        <v>0</v>
      </c>
      <c r="C115" s="512" t="str">
        <f>IF(B115=4,"Financiamento",IF(A115=$C$1,"Chaves",IF(A115=$C$2,"Chaves Contrato/Cliente","")))</f>
        <v/>
      </c>
    </row>
    <row r="116" spans="1:3" x14ac:dyDescent="0.2">
      <c r="A116" s="513">
        <v>42370</v>
      </c>
      <c r="B116" s="512">
        <v>0</v>
      </c>
      <c r="C116" s="570"/>
    </row>
    <row r="117" spans="1:3" x14ac:dyDescent="0.2">
      <c r="A117" s="513">
        <v>42401</v>
      </c>
      <c r="B117" s="512" t="str">
        <f ca="1">+IF(DATE(YEAR('Proposta 1 Via'!$G$10),MONTH('Proposta 1 Via'!$G$10),DAY(Meses!$B$1))=Meses!A117,0,IF(Meses!A117&lt;'Proposta 1 Via'!$G$10,"",B116+1))</f>
        <v/>
      </c>
    </row>
    <row r="118" spans="1:3" x14ac:dyDescent="0.2">
      <c r="A118" s="513">
        <v>42430</v>
      </c>
      <c r="B118" s="512" t="str">
        <f ca="1">+IF(DATE(YEAR('Proposta 1 Via'!$G$10),MONTH('Proposta 1 Via'!$G$10),DAY(Meses!$B$1))=Meses!A118,0,IF(Meses!A118&lt;'Proposta 1 Via'!$G$10,"",B117+1))</f>
        <v/>
      </c>
    </row>
    <row r="119" spans="1:3" x14ac:dyDescent="0.2">
      <c r="A119" s="513">
        <v>42461</v>
      </c>
      <c r="B119" s="512">
        <v>0</v>
      </c>
    </row>
    <row r="120" spans="1:3" x14ac:dyDescent="0.2">
      <c r="A120" s="513">
        <v>42491</v>
      </c>
      <c r="B120" s="512">
        <v>0</v>
      </c>
    </row>
    <row r="121" spans="1:3" x14ac:dyDescent="0.2">
      <c r="A121" s="513">
        <v>42522</v>
      </c>
      <c r="B121" s="512">
        <v>0</v>
      </c>
    </row>
    <row r="122" spans="1:3" x14ac:dyDescent="0.2">
      <c r="A122" s="513">
        <v>42552</v>
      </c>
      <c r="B122" s="512">
        <v>0</v>
      </c>
    </row>
    <row r="123" spans="1:3" x14ac:dyDescent="0.2">
      <c r="A123" s="513">
        <v>42583</v>
      </c>
      <c r="B123" s="512">
        <v>0</v>
      </c>
    </row>
    <row r="124" spans="1:3" x14ac:dyDescent="0.2">
      <c r="A124" s="513">
        <v>42614</v>
      </c>
      <c r="B124" s="512">
        <v>0</v>
      </c>
    </row>
    <row r="125" spans="1:3" x14ac:dyDescent="0.2">
      <c r="A125" s="513">
        <v>42644</v>
      </c>
      <c r="B125" s="512">
        <v>0</v>
      </c>
    </row>
    <row r="126" spans="1:3" x14ac:dyDescent="0.2">
      <c r="A126" s="513">
        <v>42675</v>
      </c>
      <c r="B126" s="512" t="str">
        <f ca="1">+IF(DATE(YEAR('Proposta 1 Via'!$G$10),MONTH('Proposta 1 Via'!$G$10),DAY(Meses!$B$1))=Meses!A126,0,IF(Meses!A126&lt;'Proposta 1 Via'!$G$10,"",B125+1))</f>
        <v/>
      </c>
    </row>
    <row r="127" spans="1:3" x14ac:dyDescent="0.2">
      <c r="A127" s="513">
        <v>42705</v>
      </c>
      <c r="B127" s="512">
        <v>0</v>
      </c>
    </row>
    <row r="128" spans="1:3" x14ac:dyDescent="0.2">
      <c r="A128" s="513">
        <v>42736</v>
      </c>
      <c r="B128" s="512">
        <v>0</v>
      </c>
      <c r="C128" s="570"/>
    </row>
    <row r="129" spans="1:3" x14ac:dyDescent="0.2">
      <c r="A129" s="513">
        <v>42767</v>
      </c>
      <c r="B129" s="512">
        <v>0</v>
      </c>
    </row>
    <row r="130" spans="1:3" x14ac:dyDescent="0.2">
      <c r="A130" s="513">
        <v>42795</v>
      </c>
      <c r="B130" s="512" t="str">
        <f ca="1">+IF(DATE(YEAR('Proposta 1 Via'!$G$10),MONTH('Proposta 1 Via'!$G$10),DAY(Meses!$B$1))=Meses!A130,0,IF(Meses!A130&lt;'Proposta 1 Via'!$G$10,"",B129+1))</f>
        <v/>
      </c>
    </row>
    <row r="131" spans="1:3" x14ac:dyDescent="0.2">
      <c r="A131" s="513">
        <v>42826</v>
      </c>
      <c r="B131" s="512" t="str">
        <f ca="1">+IF(DATE(YEAR('Proposta 1 Via'!$G$10),MONTH('Proposta 1 Via'!$G$10),DAY(Meses!$B$1))=Meses!A131,0,IF(Meses!A131&lt;'Proposta 1 Via'!$G$10,"",B130+1))</f>
        <v/>
      </c>
    </row>
    <row r="132" spans="1:3" x14ac:dyDescent="0.2">
      <c r="A132" s="513">
        <v>42856</v>
      </c>
      <c r="B132" s="512" t="str">
        <f ca="1">+IF(DATE(YEAR('Proposta 1 Via'!$G$10),MONTH('Proposta 1 Via'!$G$10),DAY(Meses!$B$1))=Meses!A132,0,IF(Meses!A132&lt;'Proposta 1 Via'!$G$10,"",B131+1))</f>
        <v/>
      </c>
      <c r="C132" s="570"/>
    </row>
    <row r="133" spans="1:3" x14ac:dyDescent="0.2">
      <c r="A133" s="513">
        <v>42887</v>
      </c>
      <c r="B133" s="512" t="str">
        <f ca="1">+IF(DATE(YEAR('Proposta 1 Via'!$G$10),MONTH('Proposta 1 Via'!$G$10),DAY(Meses!$B$1))=Meses!A133,0,IF(Meses!A133&lt;'Proposta 1 Via'!$G$10,"",B132+1))</f>
        <v/>
      </c>
    </row>
    <row r="134" spans="1:3" x14ac:dyDescent="0.2">
      <c r="A134" s="513">
        <v>42917</v>
      </c>
      <c r="B134" s="512" t="str">
        <f ca="1">+IF(DATE(YEAR('Proposta 1 Via'!$G$10),MONTH('Proposta 1 Via'!$G$10),DAY(Meses!$B$1))=Meses!A134,0,IF(Meses!A134&lt;'Proposta 1 Via'!$G$10,"",B133+1))</f>
        <v/>
      </c>
    </row>
    <row r="135" spans="1:3" x14ac:dyDescent="0.2">
      <c r="A135" s="513">
        <v>42948</v>
      </c>
      <c r="B135" s="512" t="str">
        <f ca="1">+IF(DATE(YEAR('Proposta 1 Via'!$G$10),MONTH('Proposta 1 Via'!$G$10),DAY(Meses!$B$1))=Meses!A135,0,IF(Meses!A135&lt;'Proposta 1 Via'!$G$10,"",B134+1))</f>
        <v/>
      </c>
    </row>
    <row r="136" spans="1:3" x14ac:dyDescent="0.2">
      <c r="A136" s="513">
        <v>42979</v>
      </c>
      <c r="B136" s="512" t="str">
        <f ca="1">+IF(DATE(YEAR('Proposta 1 Via'!$G$10),MONTH('Proposta 1 Via'!$G$10),DAY(Meses!$B$1))=Meses!A136,0,IF(Meses!A136&lt;'Proposta 1 Via'!$G$10,"",B135+1))</f>
        <v/>
      </c>
    </row>
    <row r="137" spans="1:3" x14ac:dyDescent="0.2">
      <c r="A137" s="513">
        <v>43009</v>
      </c>
      <c r="B137" s="512" t="str">
        <f ca="1">+IF(DATE(YEAR('Proposta 1 Via'!$G$10),MONTH('Proposta 1 Via'!$G$10),DAY(Meses!$B$1))=Meses!A137,0,IF(Meses!A137&lt;'Proposta 1 Via'!$G$10,"",B136+1))</f>
        <v/>
      </c>
    </row>
    <row r="138" spans="1:3" x14ac:dyDescent="0.2">
      <c r="A138" s="513">
        <v>43040</v>
      </c>
      <c r="B138" s="512" t="str">
        <f ca="1">+IF(DATE(YEAR('Proposta 1 Via'!$G$10),MONTH('Proposta 1 Via'!$G$10),DAY(Meses!$B$1))=Meses!A138,0,IF(Meses!A138&lt;'Proposta 1 Via'!$G$10,"",B137+1))</f>
        <v/>
      </c>
    </row>
    <row r="139" spans="1:3" x14ac:dyDescent="0.2">
      <c r="A139" s="513">
        <v>43070</v>
      </c>
      <c r="B139" s="512" t="str">
        <f ca="1">+IF(DATE(YEAR('Proposta 1 Via'!$G$10),MONTH('Proposta 1 Via'!$G$10),DAY(Meses!$B$1))=Meses!A139,0,IF(Meses!A139&lt;'Proposta 1 Via'!$G$10,"",B138+1))</f>
        <v/>
      </c>
      <c r="C139" s="570" t="s">
        <v>40</v>
      </c>
    </row>
    <row r="140" spans="1:3" x14ac:dyDescent="0.2">
      <c r="A140" s="513">
        <v>43101</v>
      </c>
      <c r="B140" s="512" t="str">
        <f ca="1">+IF(DATE(YEAR('Proposta 1 Via'!$G$10),MONTH('Proposta 1 Via'!$G$10),DAY(Meses!$B$1))=Meses!A140,0,IF(Meses!A140&lt;'Proposta 1 Via'!$G$10,"",B139+1))</f>
        <v/>
      </c>
      <c r="C140" s="570"/>
    </row>
    <row r="141" spans="1:3" x14ac:dyDescent="0.2">
      <c r="A141" s="513">
        <v>43132</v>
      </c>
      <c r="B141" s="512" t="str">
        <f ca="1">+IF(DATE(YEAR('Proposta 1 Via'!$G$10),MONTH('Proposta 1 Via'!$G$10),DAY(Meses!$B$1))=Meses!A141,0,IF(Meses!A141&lt;'Proposta 1 Via'!$G$10,"",B140+1))</f>
        <v/>
      </c>
    </row>
    <row r="142" spans="1:3" x14ac:dyDescent="0.2">
      <c r="A142" s="513">
        <v>43160</v>
      </c>
      <c r="B142" s="512" t="str">
        <f ca="1">+IF(DATE(YEAR('Proposta 1 Via'!$G$10),MONTH('Proposta 1 Via'!$G$10),DAY(Meses!$B$1))=Meses!A142,0,IF(Meses!A142&lt;'Proposta 1 Via'!$G$10,"",B141+1))</f>
        <v/>
      </c>
    </row>
    <row r="143" spans="1:3" x14ac:dyDescent="0.2">
      <c r="A143" s="513">
        <v>43191</v>
      </c>
      <c r="B143" s="512" t="str">
        <f ca="1">+IF(DATE(YEAR('Proposta 1 Via'!$G$10),MONTH('Proposta 1 Via'!$G$10),DAY(Meses!$B$1))=Meses!A143,0,IF(Meses!A143&lt;'Proposta 1 Via'!$G$10,"",B142+1))</f>
        <v/>
      </c>
    </row>
    <row r="144" spans="1:3" x14ac:dyDescent="0.2">
      <c r="A144" s="513">
        <v>43221</v>
      </c>
      <c r="B144" s="512" t="str">
        <f ca="1">+IF(DATE(YEAR('Proposta 1 Via'!$G$10),MONTH('Proposta 1 Via'!$G$10),DAY(Meses!$B$1))=Meses!A144,0,IF(Meses!A144&lt;'Proposta 1 Via'!$G$10,"",B143+1))</f>
        <v/>
      </c>
    </row>
    <row r="145" spans="1:2" x14ac:dyDescent="0.2">
      <c r="A145" s="513">
        <v>43252</v>
      </c>
      <c r="B145" s="512" t="str">
        <f ca="1">+IF(DATE(YEAR('Proposta 1 Via'!$G$10),MONTH('Proposta 1 Via'!$G$10),DAY(Meses!$B$1))=Meses!A145,0,IF(Meses!A145&lt;'Proposta 1 Via'!$G$10,"",B144+1))</f>
        <v/>
      </c>
    </row>
    <row r="146" spans="1:2" x14ac:dyDescent="0.2">
      <c r="A146" s="513">
        <v>43282</v>
      </c>
      <c r="B146" s="512" t="str">
        <f ca="1">+IF(DATE(YEAR('Proposta 1 Via'!$G$10),MONTH('Proposta 1 Via'!$G$10),DAY(Meses!$B$1))=Meses!A146,0,IF(Meses!A146&lt;'Proposta 1 Via'!$G$10,"",B145+1))</f>
        <v/>
      </c>
    </row>
    <row r="147" spans="1:2" x14ac:dyDescent="0.2">
      <c r="A147" s="513">
        <v>43313</v>
      </c>
      <c r="B147" s="512" t="str">
        <f ca="1">+IF(DATE(YEAR('Proposta 1 Via'!$G$10),MONTH('Proposta 1 Via'!$G$10),DAY(Meses!$B$1))=Meses!A147,0,IF(Meses!A147&lt;'Proposta 1 Via'!$G$10,"",B146+1))</f>
        <v/>
      </c>
    </row>
    <row r="148" spans="1:2" x14ac:dyDescent="0.2">
      <c r="A148" s="513">
        <v>43344</v>
      </c>
      <c r="B148" s="512" t="str">
        <f ca="1">+IF(DATE(YEAR('Proposta 1 Via'!$G$10),MONTH('Proposta 1 Via'!$G$10),DAY(Meses!$B$1))=Meses!A148,0,IF(Meses!A148&lt;'Proposta 1 Via'!$G$10,"",B147+1))</f>
        <v/>
      </c>
    </row>
    <row r="149" spans="1:2" x14ac:dyDescent="0.2">
      <c r="A149" s="513">
        <v>43374</v>
      </c>
      <c r="B149" s="512" t="str">
        <f ca="1">+IF(DATE(YEAR('Proposta 1 Via'!$G$10),MONTH('Proposta 1 Via'!$G$10),DAY(Meses!$B$1))=Meses!A149,0,IF(Meses!A149&lt;'Proposta 1 Via'!$G$10,"",B148+1))</f>
        <v/>
      </c>
    </row>
    <row r="150" spans="1:2" x14ac:dyDescent="0.2">
      <c r="A150" s="513">
        <v>43405</v>
      </c>
      <c r="B150" s="512" t="str">
        <f ca="1">+IF(DATE(YEAR('Proposta 1 Via'!$G$10),MONTH('Proposta 1 Via'!$G$10),DAY(Meses!$B$1))=Meses!A150,0,IF(Meses!A150&lt;'Proposta 1 Via'!$G$10,"",B149+1))</f>
        <v/>
      </c>
    </row>
    <row r="151" spans="1:2" x14ac:dyDescent="0.2">
      <c r="A151" s="513">
        <v>43435</v>
      </c>
      <c r="B151" s="512" t="str">
        <f ca="1">+IF(DATE(YEAR('Proposta 1 Via'!$G$10),MONTH('Proposta 1 Via'!$G$10),DAY(Meses!$B$1))=Meses!A151,0,IF(Meses!A151&lt;'Proposta 1 Via'!$G$10,"",B150+1))</f>
        <v/>
      </c>
    </row>
    <row r="152" spans="1:2" x14ac:dyDescent="0.2">
      <c r="A152" s="513">
        <v>43466</v>
      </c>
      <c r="B152" s="512" t="str">
        <f ca="1">+IF(DATE(YEAR('Proposta 1 Via'!$G$10),MONTH('Proposta 1 Via'!$G$10),DAY(Meses!$B$1))=Meses!A152,0,IF(Meses!A152&lt;'Proposta 1 Via'!$G$10,"",B151+1))</f>
        <v/>
      </c>
    </row>
    <row r="153" spans="1:2" x14ac:dyDescent="0.2">
      <c r="A153" s="513">
        <v>43497</v>
      </c>
      <c r="B153" s="512" t="str">
        <f ca="1">+IF(DATE(YEAR('Proposta 1 Via'!$G$10),MONTH('Proposta 1 Via'!$G$10),DAY(Meses!$B$1))=Meses!A153,0,IF(Meses!A153&lt;'Proposta 1 Via'!$G$10,"",B152+1))</f>
        <v/>
      </c>
    </row>
    <row r="154" spans="1:2" x14ac:dyDescent="0.2">
      <c r="A154" s="513">
        <v>43525</v>
      </c>
      <c r="B154" s="512" t="str">
        <f ca="1">+IF(DATE(YEAR('Proposta 1 Via'!$G$10),MONTH('Proposta 1 Via'!$G$10),DAY(Meses!$B$1))=Meses!A154,0,IF(Meses!A154&lt;'Proposta 1 Via'!$G$10,"",B153+1))</f>
        <v/>
      </c>
    </row>
    <row r="155" spans="1:2" x14ac:dyDescent="0.2">
      <c r="A155" s="513">
        <v>43556</v>
      </c>
      <c r="B155" s="512" t="str">
        <f ca="1">+IF(DATE(YEAR('Proposta 1 Via'!$G$10),MONTH('Proposta 1 Via'!$G$10),DAY(Meses!$B$1))=Meses!A155,0,IF(Meses!A155&lt;'Proposta 1 Via'!$G$10,"",B154+1))</f>
        <v/>
      </c>
    </row>
    <row r="156" spans="1:2" x14ac:dyDescent="0.2">
      <c r="A156" s="513">
        <v>43586</v>
      </c>
      <c r="B156" s="512" t="str">
        <f ca="1">+IF(DATE(YEAR('Proposta 1 Via'!$G$10),MONTH('Proposta 1 Via'!$G$10),DAY(Meses!$B$1))=Meses!A156,0,IF(Meses!A156&lt;'Proposta 1 Via'!$G$10,"",B155+1))</f>
        <v/>
      </c>
    </row>
    <row r="157" spans="1:2" x14ac:dyDescent="0.2">
      <c r="A157" s="513">
        <v>43617</v>
      </c>
      <c r="B157" s="512" t="str">
        <f ca="1">+IF(DATE(YEAR('Proposta 1 Via'!$G$10),MONTH('Proposta 1 Via'!$G$10),DAY(Meses!$B$1))=Meses!A157,0,IF(Meses!A157&lt;'Proposta 1 Via'!$G$10,"",B156+1))</f>
        <v/>
      </c>
    </row>
    <row r="158" spans="1:2" x14ac:dyDescent="0.2">
      <c r="A158" s="513">
        <v>43647</v>
      </c>
      <c r="B158" s="512" t="str">
        <f ca="1">+IF(DATE(YEAR('Proposta 1 Via'!$G$10),MONTH('Proposta 1 Via'!$G$10),DAY(Meses!$B$1))=Meses!A158,0,IF(Meses!A158&lt;'Proposta 1 Via'!$G$10,"",B157+1))</f>
        <v/>
      </c>
    </row>
    <row r="159" spans="1:2" x14ac:dyDescent="0.2">
      <c r="A159" s="513">
        <v>43678</v>
      </c>
      <c r="B159" s="512" t="str">
        <f ca="1">+IF(DATE(YEAR('Proposta 1 Via'!$G$10),MONTH('Proposta 1 Via'!$G$10),DAY(Meses!$B$1))=Meses!A159,0,IF(Meses!A159&lt;'Proposta 1 Via'!$G$10,"",B158+1))</f>
        <v/>
      </c>
    </row>
    <row r="160" spans="1:2" x14ac:dyDescent="0.2">
      <c r="A160" s="513">
        <v>43709</v>
      </c>
      <c r="B160" s="512" t="str">
        <f ca="1">+IF(DATE(YEAR('Proposta 1 Via'!$G$10),MONTH('Proposta 1 Via'!$G$10),DAY(Meses!$B$1))=Meses!A160,0,IF(Meses!A160&lt;'Proposta 1 Via'!$G$10,"",B159+1))</f>
        <v/>
      </c>
    </row>
    <row r="161" spans="1:2" x14ac:dyDescent="0.2">
      <c r="A161" s="513">
        <v>43739</v>
      </c>
      <c r="B161" s="512" t="str">
        <f ca="1">+IF(DATE(YEAR('Proposta 1 Via'!$G$10),MONTH('Proposta 1 Via'!$G$10),DAY(Meses!$B$1))=Meses!A161,0,IF(Meses!A161&lt;'Proposta 1 Via'!$G$10,"",B160+1))</f>
        <v/>
      </c>
    </row>
    <row r="162" spans="1:2" x14ac:dyDescent="0.2">
      <c r="A162" s="513">
        <v>43770</v>
      </c>
      <c r="B162" s="512" t="str">
        <f ca="1">+IF(DATE(YEAR('Proposta 1 Via'!$G$10),MONTH('Proposta 1 Via'!$G$10),DAY(Meses!$B$1))=Meses!A162,0,IF(Meses!A162&lt;'Proposta 1 Via'!$G$10,"",B161+1))</f>
        <v/>
      </c>
    </row>
    <row r="163" spans="1:2" x14ac:dyDescent="0.2">
      <c r="A163" s="513">
        <v>43800</v>
      </c>
      <c r="B163" s="512">
        <f ca="1">+IF(DATE(YEAR('Proposta 1 Via'!$G$10),MONTH('Proposta 1 Via'!$G$10),DAY(Meses!$B$1))=Meses!A163,0,IF(Meses!A163&lt;'Proposta 1 Via'!$G$10,"",B162+1))</f>
        <v>0</v>
      </c>
    </row>
    <row r="164" spans="1:2" x14ac:dyDescent="0.2">
      <c r="A164" s="513">
        <v>43831</v>
      </c>
      <c r="B164" s="512">
        <f ca="1">+IF(DATE(YEAR('Proposta 1 Via'!$G$10),MONTH('Proposta 1 Via'!$G$10),DAY(Meses!$B$1))=Meses!A164,0,IF(Meses!A164&lt;'Proposta 1 Via'!$G$10,"",B163+1))</f>
        <v>1</v>
      </c>
    </row>
    <row r="165" spans="1:2" x14ac:dyDescent="0.2">
      <c r="A165" s="513">
        <v>43862</v>
      </c>
      <c r="B165" s="512">
        <f ca="1">+IF(DATE(YEAR('Proposta 1 Via'!$G$10),MONTH('Proposta 1 Via'!$G$10),DAY(Meses!$B$1))=Meses!A165,0,IF(Meses!A165&lt;'Proposta 1 Via'!$G$10,"",B164+1))</f>
        <v>2</v>
      </c>
    </row>
    <row r="166" spans="1:2" x14ac:dyDescent="0.2">
      <c r="A166" s="513">
        <v>43891</v>
      </c>
      <c r="B166" s="512">
        <f ca="1">+IF(DATE(YEAR('Proposta 1 Via'!$G$10),MONTH('Proposta 1 Via'!$G$10),DAY(Meses!$B$1))=Meses!A166,0,IF(Meses!A166&lt;'Proposta 1 Via'!$G$10,"",B165+1))</f>
        <v>3</v>
      </c>
    </row>
    <row r="167" spans="1:2" x14ac:dyDescent="0.2">
      <c r="A167" s="513">
        <v>43922</v>
      </c>
      <c r="B167" s="512">
        <f ca="1">+IF(DATE(YEAR('Proposta 1 Via'!$G$10),MONTH('Proposta 1 Via'!$G$10),DAY(Meses!$B$1))=Meses!A167,0,IF(Meses!A167&lt;'Proposta 1 Via'!$G$10,"",B166+1))</f>
        <v>4</v>
      </c>
    </row>
    <row r="168" spans="1:2" x14ac:dyDescent="0.2">
      <c r="A168" s="513">
        <v>43952</v>
      </c>
      <c r="B168" s="512">
        <f ca="1">+IF(DATE(YEAR('Proposta 1 Via'!$G$10),MONTH('Proposta 1 Via'!$G$10),DAY(Meses!$B$1))=Meses!A168,0,IF(Meses!A168&lt;'Proposta 1 Via'!$G$10,"",B167+1))</f>
        <v>5</v>
      </c>
    </row>
    <row r="169" spans="1:2" x14ac:dyDescent="0.2">
      <c r="A169" s="513">
        <v>43983</v>
      </c>
      <c r="B169" s="512">
        <f ca="1">+IF(DATE(YEAR('Proposta 1 Via'!$G$10),MONTH('Proposta 1 Via'!$G$10),DAY(Meses!$B$1))=Meses!A169,0,IF(Meses!A169&lt;'Proposta 1 Via'!$G$10,"",B168+1))</f>
        <v>6</v>
      </c>
    </row>
    <row r="170" spans="1:2" x14ac:dyDescent="0.2">
      <c r="A170" s="513">
        <v>44013</v>
      </c>
      <c r="B170" s="512">
        <f ca="1">+IF(DATE(YEAR('Proposta 1 Via'!$G$10),MONTH('Proposta 1 Via'!$G$10),DAY(Meses!$B$1))=Meses!A170,0,IF(Meses!A170&lt;'Proposta 1 Via'!$G$10,"",B169+1))</f>
        <v>7</v>
      </c>
    </row>
    <row r="171" spans="1:2" x14ac:dyDescent="0.2">
      <c r="A171" s="513">
        <v>44044</v>
      </c>
      <c r="B171" s="512">
        <f ca="1">+IF(DATE(YEAR('Proposta 1 Via'!$G$10),MONTH('Proposta 1 Via'!$G$10),DAY(Meses!$B$1))=Meses!A171,0,IF(Meses!A171&lt;'Proposta 1 Via'!$G$10,"",B170+1))</f>
        <v>8</v>
      </c>
    </row>
    <row r="172" spans="1:2" x14ac:dyDescent="0.2">
      <c r="A172" s="513">
        <v>44075</v>
      </c>
      <c r="B172" s="512">
        <f ca="1">+IF(DATE(YEAR('Proposta 1 Via'!$G$10),MONTH('Proposta 1 Via'!$G$10),DAY(Meses!$B$1))=Meses!A172,0,IF(Meses!A172&lt;'Proposta 1 Via'!$G$10,"",B171+1))</f>
        <v>9</v>
      </c>
    </row>
    <row r="173" spans="1:2" x14ac:dyDescent="0.2">
      <c r="A173" s="513">
        <v>44105</v>
      </c>
      <c r="B173" s="512">
        <f ca="1">+IF(DATE(YEAR('Proposta 1 Via'!$G$10),MONTH('Proposta 1 Via'!$G$10),DAY(Meses!$B$1))=Meses!A173,0,IF(Meses!A173&lt;'Proposta 1 Via'!$G$10,"",B172+1))</f>
        <v>10</v>
      </c>
    </row>
    <row r="174" spans="1:2" x14ac:dyDescent="0.2">
      <c r="A174" s="513">
        <v>44136</v>
      </c>
      <c r="B174" s="512">
        <f ca="1">+IF(DATE(YEAR('Proposta 1 Via'!$G$10),MONTH('Proposta 1 Via'!$G$10),DAY(Meses!$B$1))=Meses!A174,0,IF(Meses!A174&lt;'Proposta 1 Via'!$G$10,"",B173+1))</f>
        <v>11</v>
      </c>
    </row>
    <row r="175" spans="1:2" x14ac:dyDescent="0.2">
      <c r="A175" s="513">
        <v>44166</v>
      </c>
      <c r="B175" s="512">
        <f ca="1">+IF(DATE(YEAR('Proposta 1 Via'!$G$10),MONTH('Proposta 1 Via'!$G$10),DAY(Meses!$B$1))=Meses!A175,0,IF(Meses!A175&lt;'Proposta 1 Via'!$G$10,"",B174+1))</f>
        <v>12</v>
      </c>
    </row>
    <row r="176" spans="1:2" x14ac:dyDescent="0.2">
      <c r="A176" s="513">
        <v>44197</v>
      </c>
      <c r="B176" s="512">
        <f ca="1">+IF(DATE(YEAR('Proposta 1 Via'!$G$10),MONTH('Proposta 1 Via'!$G$10),DAY(Meses!$B$1))=Meses!A176,0,IF(Meses!A176&lt;'Proposta 1 Via'!$G$10,"",B175+1))</f>
        <v>13</v>
      </c>
    </row>
    <row r="177" spans="1:2" x14ac:dyDescent="0.2">
      <c r="A177" s="513">
        <v>44228</v>
      </c>
      <c r="B177" s="512">
        <f ca="1">+IF(DATE(YEAR('Proposta 1 Via'!$G$10),MONTH('Proposta 1 Via'!$G$10),DAY(Meses!$B$1))=Meses!A177,0,IF(Meses!A177&lt;'Proposta 1 Via'!$G$10,"",B176+1))</f>
        <v>14</v>
      </c>
    </row>
    <row r="178" spans="1:2" x14ac:dyDescent="0.2">
      <c r="A178" s="513">
        <v>44256</v>
      </c>
      <c r="B178" s="512">
        <f ca="1">+IF(DATE(YEAR('Proposta 1 Via'!$G$10),MONTH('Proposta 1 Via'!$G$10),DAY(Meses!$B$1))=Meses!A178,0,IF(Meses!A178&lt;'Proposta 1 Via'!$G$10,"",B177+1))</f>
        <v>15</v>
      </c>
    </row>
    <row r="179" spans="1:2" x14ac:dyDescent="0.2">
      <c r="A179" s="513">
        <v>44287</v>
      </c>
      <c r="B179" s="512">
        <f ca="1">+IF(DATE(YEAR('Proposta 1 Via'!$G$10),MONTH('Proposta 1 Via'!$G$10),DAY(Meses!$B$1))=Meses!A179,0,IF(Meses!A179&lt;'Proposta 1 Via'!$G$10,"",B178+1))</f>
        <v>16</v>
      </c>
    </row>
    <row r="180" spans="1:2" x14ac:dyDescent="0.2">
      <c r="A180" s="513">
        <v>44317</v>
      </c>
      <c r="B180" s="512">
        <f ca="1">+IF(DATE(YEAR('Proposta 1 Via'!$G$10),MONTH('Proposta 1 Via'!$G$10),DAY(Meses!$B$1))=Meses!A180,0,IF(Meses!A180&lt;'Proposta 1 Via'!$G$10,"",B179+1))</f>
        <v>17</v>
      </c>
    </row>
    <row r="181" spans="1:2" x14ac:dyDescent="0.2">
      <c r="A181" s="513">
        <v>44348</v>
      </c>
      <c r="B181" s="512">
        <f ca="1">+IF(DATE(YEAR('Proposta 1 Via'!$G$10),MONTH('Proposta 1 Via'!$G$10),DAY(Meses!$B$1))=Meses!A181,0,IF(Meses!A181&lt;'Proposta 1 Via'!$G$10,"",B180+1))</f>
        <v>18</v>
      </c>
    </row>
    <row r="182" spans="1:2" x14ac:dyDescent="0.2">
      <c r="A182" s="513">
        <v>44378</v>
      </c>
      <c r="B182" s="512">
        <f ca="1">+IF(DATE(YEAR('Proposta 1 Via'!$G$10),MONTH('Proposta 1 Via'!$G$10),DAY(Meses!$B$1))=Meses!A182,0,IF(Meses!A182&lt;'Proposta 1 Via'!$G$10,"",B181+1))</f>
        <v>19</v>
      </c>
    </row>
    <row r="183" spans="1:2" x14ac:dyDescent="0.2">
      <c r="A183" s="513">
        <v>44409</v>
      </c>
      <c r="B183" s="512">
        <f ca="1">+IF(DATE(YEAR('Proposta 1 Via'!$G$10),MONTH('Proposta 1 Via'!$G$10),DAY(Meses!$B$1))=Meses!A183,0,IF(Meses!A183&lt;'Proposta 1 Via'!$G$10,"",B182+1))</f>
        <v>20</v>
      </c>
    </row>
    <row r="184" spans="1:2" x14ac:dyDescent="0.2">
      <c r="A184" s="513">
        <v>44440</v>
      </c>
      <c r="B184" s="512">
        <f ca="1">+IF(DATE(YEAR('Proposta 1 Via'!$G$10),MONTH('Proposta 1 Via'!$G$10),DAY(Meses!$B$1))=Meses!A184,0,IF(Meses!A184&lt;'Proposta 1 Via'!$G$10,"",B183+1))</f>
        <v>21</v>
      </c>
    </row>
    <row r="185" spans="1:2" x14ac:dyDescent="0.2">
      <c r="A185" s="513">
        <v>44470</v>
      </c>
      <c r="B185" s="512">
        <f ca="1">+IF(DATE(YEAR('Proposta 1 Via'!$G$10),MONTH('Proposta 1 Via'!$G$10),DAY(Meses!$B$1))=Meses!A185,0,IF(Meses!A185&lt;'Proposta 1 Via'!$G$10,"",B184+1))</f>
        <v>22</v>
      </c>
    </row>
    <row r="186" spans="1:2" x14ac:dyDescent="0.2">
      <c r="A186" s="513">
        <v>44501</v>
      </c>
      <c r="B186" s="512">
        <f ca="1">+IF(DATE(YEAR('Proposta 1 Via'!$G$10),MONTH('Proposta 1 Via'!$G$10),DAY(Meses!$B$1))=Meses!A186,0,IF(Meses!A186&lt;'Proposta 1 Via'!$G$10,"",B185+1))</f>
        <v>23</v>
      </c>
    </row>
    <row r="187" spans="1:2" x14ac:dyDescent="0.2">
      <c r="A187" s="513">
        <v>44531</v>
      </c>
      <c r="B187" s="512">
        <f ca="1">+IF(DATE(YEAR('Proposta 1 Via'!$G$10),MONTH('Proposta 1 Via'!$G$10),DAY(Meses!$B$1))=Meses!A187,0,IF(Meses!A187&lt;'Proposta 1 Via'!$G$10,"",B186+1))</f>
        <v>24</v>
      </c>
    </row>
    <row r="188" spans="1:2" x14ac:dyDescent="0.2">
      <c r="A188" s="513">
        <v>44562</v>
      </c>
      <c r="B188" s="512">
        <f ca="1">+IF(DATE(YEAR('Proposta 1 Via'!$G$10),MONTH('Proposta 1 Via'!$G$10),DAY(Meses!$B$1))=Meses!A188,0,IF(Meses!A188&lt;'Proposta 1 Via'!$G$10,"",B187+1))</f>
        <v>25</v>
      </c>
    </row>
    <row r="189" spans="1:2" x14ac:dyDescent="0.2">
      <c r="A189" s="513">
        <v>44593</v>
      </c>
      <c r="B189" s="512">
        <f ca="1">+IF(DATE(YEAR('Proposta 1 Via'!$G$10),MONTH('Proposta 1 Via'!$G$10),DAY(Meses!$B$1))=Meses!A189,0,IF(Meses!A189&lt;'Proposta 1 Via'!$G$10,"",B188+1))</f>
        <v>26</v>
      </c>
    </row>
    <row r="190" spans="1:2" x14ac:dyDescent="0.2">
      <c r="A190" s="513">
        <v>44621</v>
      </c>
      <c r="B190" s="512">
        <f ca="1">+IF(DATE(YEAR('Proposta 1 Via'!$G$10),MONTH('Proposta 1 Via'!$G$10),DAY(Meses!$B$1))=Meses!A190,0,IF(Meses!A190&lt;'Proposta 1 Via'!$G$10,"",B189+1))</f>
        <v>27</v>
      </c>
    </row>
    <row r="191" spans="1:2" x14ac:dyDescent="0.2">
      <c r="A191" s="513">
        <v>44652</v>
      </c>
      <c r="B191" s="512">
        <f ca="1">+IF(DATE(YEAR('Proposta 1 Via'!$G$10),MONTH('Proposta 1 Via'!$G$10),DAY(Meses!$B$1))=Meses!A191,0,IF(Meses!A191&lt;'Proposta 1 Via'!$G$10,"",B190+1))</f>
        <v>28</v>
      </c>
    </row>
    <row r="192" spans="1:2" x14ac:dyDescent="0.2">
      <c r="A192" s="513">
        <v>44682</v>
      </c>
      <c r="B192" s="512">
        <f ca="1">+IF(DATE(YEAR('Proposta 1 Via'!$G$10),MONTH('Proposta 1 Via'!$G$10),DAY(Meses!$B$1))=Meses!A192,0,IF(Meses!A192&lt;'Proposta 1 Via'!$G$10,"",B191+1))</f>
        <v>29</v>
      </c>
    </row>
    <row r="193" spans="1:2" x14ac:dyDescent="0.2">
      <c r="A193" s="513">
        <v>44713</v>
      </c>
      <c r="B193" s="512">
        <f ca="1">+IF(DATE(YEAR('Proposta 1 Via'!$G$10),MONTH('Proposta 1 Via'!$G$10),DAY(Meses!$B$1))=Meses!A193,0,IF(Meses!A193&lt;'Proposta 1 Via'!$G$10,"",B192+1))</f>
        <v>30</v>
      </c>
    </row>
    <row r="194" spans="1:2" x14ac:dyDescent="0.2">
      <c r="A194" s="513">
        <v>44743</v>
      </c>
      <c r="B194" s="512">
        <f ca="1">+IF(DATE(YEAR('Proposta 1 Via'!$G$10),MONTH('Proposta 1 Via'!$G$10),DAY(Meses!$B$1))=Meses!A194,0,IF(Meses!A194&lt;'Proposta 1 Via'!$G$10,"",B193+1))</f>
        <v>31</v>
      </c>
    </row>
    <row r="195" spans="1:2" x14ac:dyDescent="0.2">
      <c r="A195" s="513">
        <v>44774</v>
      </c>
      <c r="B195" s="512">
        <f ca="1">+IF(DATE(YEAR('Proposta 1 Via'!$G$10),MONTH('Proposta 1 Via'!$G$10),DAY(Meses!$B$1))=Meses!A195,0,IF(Meses!A195&lt;'Proposta 1 Via'!$G$10,"",B194+1))</f>
        <v>32</v>
      </c>
    </row>
    <row r="196" spans="1:2" x14ac:dyDescent="0.2">
      <c r="A196" s="513">
        <v>44805</v>
      </c>
      <c r="B196" s="512">
        <f ca="1">+IF(DATE(YEAR('Proposta 1 Via'!$G$10),MONTH('Proposta 1 Via'!$G$10),DAY(Meses!$B$1))=Meses!A196,0,IF(Meses!A196&lt;'Proposta 1 Via'!$G$10,"",B195+1))</f>
        <v>33</v>
      </c>
    </row>
    <row r="197" spans="1:2" x14ac:dyDescent="0.2">
      <c r="A197" s="513">
        <v>44835</v>
      </c>
      <c r="B197" s="512">
        <f ca="1">+IF(DATE(YEAR('Proposta 1 Via'!$G$10),MONTH('Proposta 1 Via'!$G$10),DAY(Meses!$B$1))=Meses!A197,0,IF(Meses!A197&lt;'Proposta 1 Via'!$G$10,"",B196+1))</f>
        <v>34</v>
      </c>
    </row>
    <row r="198" spans="1:2" x14ac:dyDescent="0.2">
      <c r="A198" s="513">
        <v>44866</v>
      </c>
      <c r="B198" s="512">
        <f ca="1">+IF(DATE(YEAR('Proposta 1 Via'!$G$10),MONTH('Proposta 1 Via'!$G$10),DAY(Meses!$B$1))=Meses!A198,0,IF(Meses!A198&lt;'Proposta 1 Via'!$G$10,"",B197+1))</f>
        <v>35</v>
      </c>
    </row>
    <row r="199" spans="1:2" x14ac:dyDescent="0.2">
      <c r="A199" s="513">
        <v>44896</v>
      </c>
      <c r="B199" s="512">
        <f ca="1">+IF(DATE(YEAR('Proposta 1 Via'!$G$10),MONTH('Proposta 1 Via'!$G$10),DAY(Meses!$B$1))=Meses!A199,0,IF(Meses!A199&lt;'Proposta 1 Via'!$G$10,"",B198+1))</f>
        <v>36</v>
      </c>
    </row>
    <row r="200" spans="1:2" x14ac:dyDescent="0.2">
      <c r="A200" s="513">
        <v>44927</v>
      </c>
      <c r="B200" s="512">
        <f ca="1">+IF(DATE(YEAR('Proposta 1 Via'!$G$10),MONTH('Proposta 1 Via'!$G$10),DAY(Meses!$B$1))=Meses!A200,0,IF(Meses!A200&lt;'Proposta 1 Via'!$G$10,"",B199+1))</f>
        <v>37</v>
      </c>
    </row>
    <row r="201" spans="1:2" x14ac:dyDescent="0.2">
      <c r="A201" s="513">
        <v>44958</v>
      </c>
      <c r="B201" s="512">
        <f ca="1">+IF(DATE(YEAR('Proposta 1 Via'!$G$10),MONTH('Proposta 1 Via'!$G$10),DAY(Meses!$B$1))=Meses!A201,0,IF(Meses!A201&lt;'Proposta 1 Via'!$G$10,"",B200+1))</f>
        <v>38</v>
      </c>
    </row>
    <row r="202" spans="1:2" x14ac:dyDescent="0.2">
      <c r="A202" s="513">
        <v>44986</v>
      </c>
      <c r="B202" s="512">
        <f ca="1">+IF(DATE(YEAR('Proposta 1 Via'!$G$10),MONTH('Proposta 1 Via'!$G$10),DAY(Meses!$B$1))=Meses!A202,0,IF(Meses!A202&lt;'Proposta 1 Via'!$G$10,"",B201+1))</f>
        <v>39</v>
      </c>
    </row>
    <row r="203" spans="1:2" x14ac:dyDescent="0.2">
      <c r="A203" s="513">
        <v>45017</v>
      </c>
      <c r="B203" s="512">
        <f ca="1">+IF(DATE(YEAR('Proposta 1 Via'!$G$10),MONTH('Proposta 1 Via'!$G$10),DAY(Meses!$B$1))=Meses!A203,0,IF(Meses!A203&lt;'Proposta 1 Via'!$G$10,"",B202+1))</f>
        <v>40</v>
      </c>
    </row>
    <row r="204" spans="1:2" x14ac:dyDescent="0.2">
      <c r="A204" s="513">
        <v>45047</v>
      </c>
      <c r="B204" s="512">
        <f ca="1">+IF(DATE(YEAR('Proposta 1 Via'!$G$10),MONTH('Proposta 1 Via'!$G$10),DAY(Meses!$B$1))=Meses!A204,0,IF(Meses!A204&lt;'Proposta 1 Via'!$G$10,"",B203+1))</f>
        <v>41</v>
      </c>
    </row>
    <row r="205" spans="1:2" x14ac:dyDescent="0.2">
      <c r="A205" s="513">
        <v>45078</v>
      </c>
      <c r="B205" s="512">
        <f ca="1">+IF(DATE(YEAR('Proposta 1 Via'!$G$10),MONTH('Proposta 1 Via'!$G$10),DAY(Meses!$B$1))=Meses!A205,0,IF(Meses!A205&lt;'Proposta 1 Via'!$G$10,"",B204+1))</f>
        <v>42</v>
      </c>
    </row>
    <row r="206" spans="1:2" x14ac:dyDescent="0.2">
      <c r="A206" s="513">
        <v>45108</v>
      </c>
      <c r="B206" s="512">
        <f ca="1">+IF(DATE(YEAR('Proposta 1 Via'!$G$10),MONTH('Proposta 1 Via'!$G$10),DAY(Meses!$B$1))=Meses!A206,0,IF(Meses!A206&lt;'Proposta 1 Via'!$G$10,"",B205+1))</f>
        <v>43</v>
      </c>
    </row>
    <row r="207" spans="1:2" x14ac:dyDescent="0.2">
      <c r="A207" s="513">
        <v>45139</v>
      </c>
      <c r="B207" s="512">
        <f ca="1">+IF(DATE(YEAR('Proposta 1 Via'!$G$10),MONTH('Proposta 1 Via'!$G$10),DAY(Meses!$B$1))=Meses!A207,0,IF(Meses!A207&lt;'Proposta 1 Via'!$G$10,"",B206+1))</f>
        <v>44</v>
      </c>
    </row>
    <row r="208" spans="1:2" x14ac:dyDescent="0.2">
      <c r="A208" s="513">
        <v>45170</v>
      </c>
      <c r="B208" s="512">
        <f ca="1">+IF(DATE(YEAR('Proposta 1 Via'!$G$10),MONTH('Proposta 1 Via'!$G$10),DAY(Meses!$B$1))=Meses!A208,0,IF(Meses!A208&lt;'Proposta 1 Via'!$G$10,"",B207+1))</f>
        <v>45</v>
      </c>
    </row>
    <row r="209" spans="1:2" x14ac:dyDescent="0.2">
      <c r="A209" s="513">
        <v>45200</v>
      </c>
      <c r="B209" s="512">
        <f ca="1">+IF(DATE(YEAR('Proposta 1 Via'!$G$10),MONTH('Proposta 1 Via'!$G$10),DAY(Meses!$B$1))=Meses!A209,0,IF(Meses!A209&lt;'Proposta 1 Via'!$G$10,"",B208+1))</f>
        <v>46</v>
      </c>
    </row>
    <row r="210" spans="1:2" x14ac:dyDescent="0.2">
      <c r="A210" s="513">
        <v>45231</v>
      </c>
      <c r="B210" s="512">
        <f ca="1">+IF(DATE(YEAR('Proposta 1 Via'!$G$10),MONTH('Proposta 1 Via'!$G$10),DAY(Meses!$B$1))=Meses!A210,0,IF(Meses!A210&lt;'Proposta 1 Via'!$G$10,"",B209+1))</f>
        <v>47</v>
      </c>
    </row>
    <row r="211" spans="1:2" x14ac:dyDescent="0.2">
      <c r="A211" s="513">
        <v>45261</v>
      </c>
      <c r="B211" s="512">
        <f ca="1">+IF(DATE(YEAR('Proposta 1 Via'!$G$10),MONTH('Proposta 1 Via'!$G$10),DAY(Meses!$B$1))=Meses!A211,0,IF(Meses!A211&lt;'Proposta 1 Via'!$G$10,"",B210+1))</f>
        <v>48</v>
      </c>
    </row>
    <row r="212" spans="1:2" x14ac:dyDescent="0.2">
      <c r="A212" s="513">
        <v>45292</v>
      </c>
      <c r="B212" s="512">
        <f ca="1">+IF(DATE(YEAR('Proposta 1 Via'!$G$10),MONTH('Proposta 1 Via'!$G$10),DAY(Meses!$B$1))=Meses!A212,0,IF(Meses!A212&lt;'Proposta 1 Via'!$G$10,"",B211+1))</f>
        <v>49</v>
      </c>
    </row>
    <row r="213" spans="1:2" x14ac:dyDescent="0.2">
      <c r="A213" s="513">
        <v>45323</v>
      </c>
      <c r="B213" s="512">
        <f ca="1">+IF(DATE(YEAR('Proposta 1 Via'!$G$10),MONTH('Proposta 1 Via'!$G$10),DAY(Meses!$B$1))=Meses!A213,0,IF(Meses!A213&lt;'Proposta 1 Via'!$G$10,"",B212+1))</f>
        <v>50</v>
      </c>
    </row>
    <row r="214" spans="1:2" x14ac:dyDescent="0.2">
      <c r="A214" s="513">
        <v>45352</v>
      </c>
      <c r="B214" s="512">
        <f ca="1">+IF(DATE(YEAR('Proposta 1 Via'!$G$10),MONTH('Proposta 1 Via'!$G$10),DAY(Meses!$B$1))=Meses!A214,0,IF(Meses!A214&lt;'Proposta 1 Via'!$G$10,"",B213+1))</f>
        <v>51</v>
      </c>
    </row>
    <row r="215" spans="1:2" x14ac:dyDescent="0.2">
      <c r="A215" s="513">
        <v>45383</v>
      </c>
      <c r="B215" s="512">
        <f ca="1">+IF(DATE(YEAR('Proposta 1 Via'!$G$10),MONTH('Proposta 1 Via'!$G$10),DAY(Meses!$B$1))=Meses!A215,0,IF(Meses!A215&lt;'Proposta 1 Via'!$G$10,"",B214+1))</f>
        <v>52</v>
      </c>
    </row>
    <row r="216" spans="1:2" x14ac:dyDescent="0.2">
      <c r="A216" s="513">
        <v>45413</v>
      </c>
      <c r="B216" s="512">
        <f ca="1">+IF(DATE(YEAR('Proposta 1 Via'!$G$10),MONTH('Proposta 1 Via'!$G$10),DAY(Meses!$B$1))=Meses!A216,0,IF(Meses!A216&lt;'Proposta 1 Via'!$G$10,"",B215+1))</f>
        <v>53</v>
      </c>
    </row>
    <row r="217" spans="1:2" x14ac:dyDescent="0.2">
      <c r="A217" s="513">
        <v>45444</v>
      </c>
      <c r="B217" s="512">
        <f ca="1">+IF(DATE(YEAR('Proposta 1 Via'!$G$10),MONTH('Proposta 1 Via'!$G$10),DAY(Meses!$B$1))=Meses!A217,0,IF(Meses!A217&lt;'Proposta 1 Via'!$G$10,"",B216+1))</f>
        <v>54</v>
      </c>
    </row>
    <row r="218" spans="1:2" x14ac:dyDescent="0.2">
      <c r="A218" s="513">
        <v>45474</v>
      </c>
      <c r="B218" s="512">
        <f ca="1">+IF(DATE(YEAR('Proposta 1 Via'!$G$10),MONTH('Proposta 1 Via'!$G$10),DAY(Meses!$B$1))=Meses!A218,0,IF(Meses!A218&lt;'Proposta 1 Via'!$G$10,"",B217+1))</f>
        <v>55</v>
      </c>
    </row>
    <row r="219" spans="1:2" x14ac:dyDescent="0.2">
      <c r="A219" s="513">
        <v>45505</v>
      </c>
      <c r="B219" s="512">
        <f ca="1">+IF(DATE(YEAR('Proposta 1 Via'!$G$10),MONTH('Proposta 1 Via'!$G$10),DAY(Meses!$B$1))=Meses!A219,0,IF(Meses!A219&lt;'Proposta 1 Via'!$G$10,"",B218+1))</f>
        <v>56</v>
      </c>
    </row>
    <row r="220" spans="1:2" x14ac:dyDescent="0.2">
      <c r="A220" s="513">
        <v>45536</v>
      </c>
      <c r="B220" s="512">
        <f ca="1">+IF(DATE(YEAR('Proposta 1 Via'!$G$10),MONTH('Proposta 1 Via'!$G$10),DAY(Meses!$B$1))=Meses!A220,0,IF(Meses!A220&lt;'Proposta 1 Via'!$G$10,"",B219+1))</f>
        <v>57</v>
      </c>
    </row>
    <row r="221" spans="1:2" x14ac:dyDescent="0.2">
      <c r="A221" s="513">
        <v>45566</v>
      </c>
      <c r="B221" s="512">
        <f ca="1">+IF(DATE(YEAR('Proposta 1 Via'!$G$10),MONTH('Proposta 1 Via'!$G$10),DAY(Meses!$B$1))=Meses!A221,0,IF(Meses!A221&lt;'Proposta 1 Via'!$G$10,"",B220+1))</f>
        <v>58</v>
      </c>
    </row>
    <row r="222" spans="1:2" x14ac:dyDescent="0.2">
      <c r="A222" s="513">
        <v>45597</v>
      </c>
      <c r="B222" s="512">
        <f ca="1">+IF(DATE(YEAR('Proposta 1 Via'!$G$10),MONTH('Proposta 1 Via'!$G$10),DAY(Meses!$B$1))=Meses!A222,0,IF(Meses!A222&lt;'Proposta 1 Via'!$G$10,"",B221+1))</f>
        <v>59</v>
      </c>
    </row>
    <row r="223" spans="1:2" x14ac:dyDescent="0.2">
      <c r="A223" s="513">
        <v>45627</v>
      </c>
      <c r="B223" s="512">
        <f ca="1">+IF(DATE(YEAR('Proposta 1 Via'!$G$10),MONTH('Proposta 1 Via'!$G$10),DAY(Meses!$B$1))=Meses!A223,0,IF(Meses!A223&lt;'Proposta 1 Via'!$G$10,"",B222+1))</f>
        <v>60</v>
      </c>
    </row>
    <row r="224" spans="1:2" x14ac:dyDescent="0.2">
      <c r="A224" s="513">
        <v>45658</v>
      </c>
      <c r="B224" s="512">
        <f ca="1">+IF(DATE(YEAR('Proposta 1 Via'!$G$10),MONTH('Proposta 1 Via'!$G$10),DAY(Meses!$B$1))=Meses!A224,0,IF(Meses!A224&lt;'Proposta 1 Via'!$G$10,"",B223+1))</f>
        <v>61</v>
      </c>
    </row>
    <row r="225" spans="1:2" x14ac:dyDescent="0.2">
      <c r="A225" s="513">
        <v>45689</v>
      </c>
      <c r="B225" s="512">
        <f ca="1">+IF(DATE(YEAR('Proposta 1 Via'!$G$10),MONTH('Proposta 1 Via'!$G$10),DAY(Meses!$B$1))=Meses!A225,0,IF(Meses!A225&lt;'Proposta 1 Via'!$G$10,"",B224+1))</f>
        <v>62</v>
      </c>
    </row>
    <row r="226" spans="1:2" x14ac:dyDescent="0.2">
      <c r="A226" s="513">
        <v>45717</v>
      </c>
      <c r="B226" s="512">
        <f ca="1">+IF(DATE(YEAR('Proposta 1 Via'!$G$10),MONTH('Proposta 1 Via'!$G$10),DAY(Meses!$B$1))=Meses!A226,0,IF(Meses!A226&lt;'Proposta 1 Via'!$G$10,"",B225+1))</f>
        <v>63</v>
      </c>
    </row>
    <row r="227" spans="1:2" x14ac:dyDescent="0.2">
      <c r="A227" s="513">
        <v>45748</v>
      </c>
      <c r="B227" s="512">
        <f ca="1">+IF(DATE(YEAR('Proposta 1 Via'!$G$10),MONTH('Proposta 1 Via'!$G$10),DAY(Meses!$B$1))=Meses!A227,0,IF(Meses!A227&lt;'Proposta 1 Via'!$G$10,"",B226+1))</f>
        <v>64</v>
      </c>
    </row>
    <row r="228" spans="1:2" x14ac:dyDescent="0.2">
      <c r="A228" s="513">
        <v>45778</v>
      </c>
      <c r="B228" s="512">
        <f ca="1">+IF(DATE(YEAR('Proposta 1 Via'!$G$10),MONTH('Proposta 1 Via'!$G$10),DAY(Meses!$B$1))=Meses!A228,0,IF(Meses!A228&lt;'Proposta 1 Via'!$G$10,"",B227+1))</f>
        <v>65</v>
      </c>
    </row>
    <row r="229" spans="1:2" x14ac:dyDescent="0.2">
      <c r="A229" s="513">
        <v>45809</v>
      </c>
      <c r="B229" s="512">
        <f ca="1">+IF(DATE(YEAR('Proposta 1 Via'!$G$10),MONTH('Proposta 1 Via'!$G$10),DAY(Meses!$B$1))=Meses!A229,0,IF(Meses!A229&lt;'Proposta 1 Via'!$G$10,"",B228+1))</f>
        <v>66</v>
      </c>
    </row>
    <row r="230" spans="1:2" x14ac:dyDescent="0.2">
      <c r="A230" s="513">
        <v>45839</v>
      </c>
      <c r="B230" s="512">
        <f ca="1">+IF(DATE(YEAR('Proposta 1 Via'!$G$10),MONTH('Proposta 1 Via'!$G$10),DAY(Meses!$B$1))=Meses!A230,0,IF(Meses!A230&lt;'Proposta 1 Via'!$G$10,"",B229+1))</f>
        <v>67</v>
      </c>
    </row>
    <row r="231" spans="1:2" x14ac:dyDescent="0.2">
      <c r="A231" s="513">
        <v>45870</v>
      </c>
      <c r="B231" s="512">
        <f ca="1">+IF(DATE(YEAR('Proposta 1 Via'!$G$10),MONTH('Proposta 1 Via'!$G$10),DAY(Meses!$B$1))=Meses!A231,0,IF(Meses!A231&lt;'Proposta 1 Via'!$G$10,"",B230+1))</f>
        <v>68</v>
      </c>
    </row>
    <row r="232" spans="1:2" x14ac:dyDescent="0.2">
      <c r="A232" s="513">
        <v>45901</v>
      </c>
      <c r="B232" s="512">
        <f ca="1">+IF(DATE(YEAR('Proposta 1 Via'!$G$10),MONTH('Proposta 1 Via'!$G$10),DAY(Meses!$B$1))=Meses!A232,0,IF(Meses!A232&lt;'Proposta 1 Via'!$G$10,"",B231+1))</f>
        <v>69</v>
      </c>
    </row>
    <row r="233" spans="1:2" x14ac:dyDescent="0.2">
      <c r="A233" s="513">
        <v>45931</v>
      </c>
      <c r="B233" s="512">
        <f ca="1">+IF(DATE(YEAR('Proposta 1 Via'!$G$10),MONTH('Proposta 1 Via'!$G$10),DAY(Meses!$B$1))=Meses!A233,0,IF(Meses!A233&lt;'Proposta 1 Via'!$G$10,"",B232+1))</f>
        <v>70</v>
      </c>
    </row>
    <row r="234" spans="1:2" x14ac:dyDescent="0.2">
      <c r="A234" s="513">
        <v>45962</v>
      </c>
      <c r="B234" s="512">
        <f ca="1">+IF(DATE(YEAR('Proposta 1 Via'!$G$10),MONTH('Proposta 1 Via'!$G$10),DAY(Meses!$B$1))=Meses!A234,0,IF(Meses!A234&lt;'Proposta 1 Via'!$G$10,"",B233+1))</f>
        <v>71</v>
      </c>
    </row>
    <row r="235" spans="1:2" x14ac:dyDescent="0.2">
      <c r="A235" s="513">
        <v>45992</v>
      </c>
      <c r="B235" s="512">
        <f ca="1">+IF(DATE(YEAR('Proposta 1 Via'!$G$10),MONTH('Proposta 1 Via'!$G$10),DAY(Meses!$B$1))=Meses!A235,0,IF(Meses!A235&lt;'Proposta 1 Via'!$G$10,"",B234+1))</f>
        <v>72</v>
      </c>
    </row>
    <row r="236" spans="1:2" x14ac:dyDescent="0.2">
      <c r="A236" s="513">
        <v>46023</v>
      </c>
      <c r="B236" s="512">
        <f ca="1">+IF(DATE(YEAR('Proposta 1 Via'!$G$10),MONTH('Proposta 1 Via'!$G$10),DAY(Meses!$B$1))=Meses!A236,0,IF(Meses!A236&lt;'Proposta 1 Via'!$G$10,"",B235+1))</f>
        <v>73</v>
      </c>
    </row>
    <row r="237" spans="1:2" x14ac:dyDescent="0.2">
      <c r="A237" s="513">
        <v>46054</v>
      </c>
      <c r="B237" s="512">
        <f ca="1">+IF(DATE(YEAR('Proposta 1 Via'!$G$10),MONTH('Proposta 1 Via'!$G$10),DAY(Meses!$B$1))=Meses!A237,0,IF(Meses!A237&lt;'Proposta 1 Via'!$G$10,"",B236+1))</f>
        <v>74</v>
      </c>
    </row>
    <row r="238" spans="1:2" x14ac:dyDescent="0.2">
      <c r="A238" s="513">
        <v>46082</v>
      </c>
      <c r="B238" s="512">
        <f ca="1">+IF(DATE(YEAR('Proposta 1 Via'!$G$10),MONTH('Proposta 1 Via'!$G$10),DAY(Meses!$B$1))=Meses!A238,0,IF(Meses!A238&lt;'Proposta 1 Via'!$G$10,"",B237+1))</f>
        <v>75</v>
      </c>
    </row>
    <row r="239" spans="1:2" x14ac:dyDescent="0.2">
      <c r="A239" s="513">
        <v>46113</v>
      </c>
      <c r="B239" s="512">
        <f ca="1">+IF(DATE(YEAR('Proposta 1 Via'!$G$10),MONTH('Proposta 1 Via'!$G$10),DAY(Meses!$B$1))=Meses!A239,0,IF(Meses!A239&lt;'Proposta 1 Via'!$G$10,"",B238+1))</f>
        <v>76</v>
      </c>
    </row>
    <row r="240" spans="1:2" x14ac:dyDescent="0.2">
      <c r="A240" s="513">
        <v>46143</v>
      </c>
      <c r="B240" s="512">
        <f ca="1">+IF(DATE(YEAR('Proposta 1 Via'!$G$10),MONTH('Proposta 1 Via'!$G$10),DAY(Meses!$B$1))=Meses!A240,0,IF(Meses!A240&lt;'Proposta 1 Via'!$G$10,"",B239+1))</f>
        <v>77</v>
      </c>
    </row>
    <row r="241" spans="1:2" x14ac:dyDescent="0.2">
      <c r="A241" s="513">
        <v>46174</v>
      </c>
      <c r="B241" s="512">
        <f ca="1">+IF(DATE(YEAR('Proposta 1 Via'!$G$10),MONTH('Proposta 1 Via'!$G$10),DAY(Meses!$B$1))=Meses!A241,0,IF(Meses!A241&lt;'Proposta 1 Via'!$G$10,"",B240+1))</f>
        <v>78</v>
      </c>
    </row>
    <row r="242" spans="1:2" x14ac:dyDescent="0.2">
      <c r="A242" s="513">
        <v>46204</v>
      </c>
      <c r="B242" s="512">
        <f ca="1">+IF(DATE(YEAR('Proposta 1 Via'!$G$10),MONTH('Proposta 1 Via'!$G$10),DAY(Meses!$B$1))=Meses!A242,0,IF(Meses!A242&lt;'Proposta 1 Via'!$G$10,"",B241+1))</f>
        <v>79</v>
      </c>
    </row>
    <row r="243" spans="1:2" x14ac:dyDescent="0.2">
      <c r="A243" s="513">
        <v>46235</v>
      </c>
      <c r="B243" s="512">
        <f ca="1">+IF(DATE(YEAR('Proposta 1 Via'!$G$10),MONTH('Proposta 1 Via'!$G$10),DAY(Meses!$B$1))=Meses!A243,0,IF(Meses!A243&lt;'Proposta 1 Via'!$G$10,"",B242+1))</f>
        <v>80</v>
      </c>
    </row>
    <row r="244" spans="1:2" x14ac:dyDescent="0.2">
      <c r="A244" s="513">
        <v>46266</v>
      </c>
      <c r="B244" s="512">
        <f ca="1">+IF(DATE(YEAR('Proposta 1 Via'!$G$10),MONTH('Proposta 1 Via'!$G$10),DAY(Meses!$B$1))=Meses!A244,0,IF(Meses!A244&lt;'Proposta 1 Via'!$G$10,"",B243+1))</f>
        <v>81</v>
      </c>
    </row>
    <row r="245" spans="1:2" x14ac:dyDescent="0.2">
      <c r="A245" s="513">
        <v>46296</v>
      </c>
      <c r="B245" s="512">
        <f ca="1">+IF(DATE(YEAR('Proposta 1 Via'!$G$10),MONTH('Proposta 1 Via'!$G$10),DAY(Meses!$B$1))=Meses!A245,0,IF(Meses!A245&lt;'Proposta 1 Via'!$G$10,"",B244+1))</f>
        <v>82</v>
      </c>
    </row>
    <row r="246" spans="1:2" x14ac:dyDescent="0.2">
      <c r="A246" s="513">
        <v>46327</v>
      </c>
      <c r="B246" s="512">
        <f ca="1">+IF(DATE(YEAR('Proposta 1 Via'!$G$10),MONTH('Proposta 1 Via'!$G$10),DAY(Meses!$B$1))=Meses!A246,0,IF(Meses!A246&lt;'Proposta 1 Via'!$G$10,"",B245+1))</f>
        <v>83</v>
      </c>
    </row>
    <row r="247" spans="1:2" x14ac:dyDescent="0.2">
      <c r="A247" s="513">
        <v>46357</v>
      </c>
      <c r="B247" s="512">
        <f ca="1">+IF(DATE(YEAR('Proposta 1 Via'!$G$10),MONTH('Proposta 1 Via'!$G$10),DAY(Meses!$B$1))=Meses!A247,0,IF(Meses!A247&lt;'Proposta 1 Via'!$G$10,"",B246+1))</f>
        <v>84</v>
      </c>
    </row>
    <row r="248" spans="1:2" x14ac:dyDescent="0.2">
      <c r="A248" s="513">
        <v>46388</v>
      </c>
      <c r="B248" s="512">
        <f ca="1">+IF(DATE(YEAR('Proposta 1 Via'!$G$10),MONTH('Proposta 1 Via'!$G$10),DAY(Meses!$B$1))=Meses!A248,0,IF(Meses!A248&lt;'Proposta 1 Via'!$G$10,"",B247+1))</f>
        <v>85</v>
      </c>
    </row>
    <row r="249" spans="1:2" x14ac:dyDescent="0.2">
      <c r="A249" s="513">
        <v>46419</v>
      </c>
      <c r="B249" s="512">
        <f ca="1">+IF(DATE(YEAR('Proposta 1 Via'!$G$10),MONTH('Proposta 1 Via'!$G$10),DAY(Meses!$B$1))=Meses!A249,0,IF(Meses!A249&lt;'Proposta 1 Via'!$G$10,"",B248+1))</f>
        <v>86</v>
      </c>
    </row>
    <row r="250" spans="1:2" x14ac:dyDescent="0.2">
      <c r="A250" s="513">
        <v>46447</v>
      </c>
      <c r="B250" s="512">
        <f ca="1">+IF(DATE(YEAR('Proposta 1 Via'!$G$10),MONTH('Proposta 1 Via'!$G$10),DAY(Meses!$B$1))=Meses!A250,0,IF(Meses!A250&lt;'Proposta 1 Via'!$G$10,"",B249+1))</f>
        <v>87</v>
      </c>
    </row>
    <row r="251" spans="1:2" x14ac:dyDescent="0.2">
      <c r="A251" s="513">
        <v>46478</v>
      </c>
      <c r="B251" s="512">
        <f ca="1">+IF(DATE(YEAR('Proposta 1 Via'!$G$10),MONTH('Proposta 1 Via'!$G$10),DAY(Meses!$B$1))=Meses!A251,0,IF(Meses!A251&lt;'Proposta 1 Via'!$G$10,"",B250+1))</f>
        <v>88</v>
      </c>
    </row>
    <row r="252" spans="1:2" x14ac:dyDescent="0.2">
      <c r="A252" s="513">
        <v>46508</v>
      </c>
      <c r="B252" s="512">
        <f ca="1">+IF(DATE(YEAR('Proposta 1 Via'!$G$10),MONTH('Proposta 1 Via'!$G$10),DAY(Meses!$B$1))=Meses!A252,0,IF(Meses!A252&lt;'Proposta 1 Via'!$G$10,"",B251+1))</f>
        <v>89</v>
      </c>
    </row>
    <row r="253" spans="1:2" x14ac:dyDescent="0.2">
      <c r="A253" s="513">
        <v>46539</v>
      </c>
      <c r="B253" s="512">
        <f ca="1">+IF(DATE(YEAR('Proposta 1 Via'!$G$10),MONTH('Proposta 1 Via'!$G$10),DAY(Meses!$B$1))=Meses!A253,0,IF(Meses!A253&lt;'Proposta 1 Via'!$G$10,"",B252+1))</f>
        <v>90</v>
      </c>
    </row>
    <row r="254" spans="1:2" x14ac:dyDescent="0.2">
      <c r="A254" s="513">
        <v>46569</v>
      </c>
      <c r="B254" s="512">
        <f ca="1">+IF(DATE(YEAR('Proposta 1 Via'!$G$10),MONTH('Proposta 1 Via'!$G$10),DAY(Meses!$B$1))=Meses!A254,0,IF(Meses!A254&lt;'Proposta 1 Via'!$G$10,"",B253+1))</f>
        <v>91</v>
      </c>
    </row>
    <row r="255" spans="1:2" x14ac:dyDescent="0.2">
      <c r="A255" s="513">
        <v>46600</v>
      </c>
      <c r="B255" s="512">
        <f ca="1">+IF(DATE(YEAR('Proposta 1 Via'!$G$10),MONTH('Proposta 1 Via'!$G$10),DAY(Meses!$B$1))=Meses!A255,0,IF(Meses!A255&lt;'Proposta 1 Via'!$G$10,"",B254+1))</f>
        <v>92</v>
      </c>
    </row>
    <row r="256" spans="1:2" x14ac:dyDescent="0.2">
      <c r="A256" s="513">
        <v>46631</v>
      </c>
      <c r="B256" s="512">
        <f ca="1">+IF(DATE(YEAR('Proposta 1 Via'!$G$10),MONTH('Proposta 1 Via'!$G$10),DAY(Meses!$B$1))=Meses!A256,0,IF(Meses!A256&lt;'Proposta 1 Via'!$G$10,"",B255+1))</f>
        <v>93</v>
      </c>
    </row>
    <row r="257" spans="1:2" x14ac:dyDescent="0.2">
      <c r="A257" s="513">
        <v>46661</v>
      </c>
      <c r="B257" s="512">
        <f ca="1">+IF(DATE(YEAR('Proposta 1 Via'!$G$10),MONTH('Proposta 1 Via'!$G$10),DAY(Meses!$B$1))=Meses!A257,0,IF(Meses!A257&lt;'Proposta 1 Via'!$G$10,"",B256+1))</f>
        <v>94</v>
      </c>
    </row>
    <row r="258" spans="1:2" x14ac:dyDescent="0.2">
      <c r="A258" s="513">
        <v>46692</v>
      </c>
      <c r="B258" s="512">
        <f ca="1">+IF(DATE(YEAR('Proposta 1 Via'!$G$10),MONTH('Proposta 1 Via'!$G$10),DAY(Meses!$B$1))=Meses!A258,0,IF(Meses!A258&lt;'Proposta 1 Via'!$G$10,"",B257+1))</f>
        <v>95</v>
      </c>
    </row>
    <row r="259" spans="1:2" x14ac:dyDescent="0.2">
      <c r="A259" s="513">
        <v>46722</v>
      </c>
      <c r="B259" s="512">
        <f ca="1">+IF(DATE(YEAR('Proposta 1 Via'!$G$10),MONTH('Proposta 1 Via'!$G$10),DAY(Meses!$B$1))=Meses!A259,0,IF(Meses!A259&lt;'Proposta 1 Via'!$G$10,"",B258+1))</f>
        <v>96</v>
      </c>
    </row>
    <row r="260" spans="1:2" x14ac:dyDescent="0.2">
      <c r="A260" s="513">
        <v>46753</v>
      </c>
      <c r="B260" s="512">
        <f ca="1">+IF(DATE(YEAR('Proposta 1 Via'!$G$10),MONTH('Proposta 1 Via'!$G$10),DAY(Meses!$B$1))=Meses!A260,0,IF(Meses!A260&lt;'Proposta 1 Via'!$G$10,"",B259+1))</f>
        <v>97</v>
      </c>
    </row>
    <row r="261" spans="1:2" x14ac:dyDescent="0.2">
      <c r="A261" s="513">
        <v>46784</v>
      </c>
      <c r="B261" s="512">
        <f ca="1">+IF(DATE(YEAR('Proposta 1 Via'!$G$10),MONTH('Proposta 1 Via'!$G$10),DAY(Meses!$B$1))=Meses!A261,0,IF(Meses!A261&lt;'Proposta 1 Via'!$G$10,"",B260+1))</f>
        <v>98</v>
      </c>
    </row>
    <row r="262" spans="1:2" x14ac:dyDescent="0.2">
      <c r="A262" s="513">
        <v>46813</v>
      </c>
      <c r="B262" s="512">
        <f ca="1">+IF(DATE(YEAR('Proposta 1 Via'!$G$10),MONTH('Proposta 1 Via'!$G$10),DAY(Meses!$B$1))=Meses!A262,0,IF(Meses!A262&lt;'Proposta 1 Via'!$G$10,"",B261+1))</f>
        <v>99</v>
      </c>
    </row>
    <row r="263" spans="1:2" x14ac:dyDescent="0.2">
      <c r="A263" s="513">
        <v>46844</v>
      </c>
      <c r="B263" s="512">
        <f ca="1">+IF(DATE(YEAR('Proposta 1 Via'!$G$10),MONTH('Proposta 1 Via'!$G$10),DAY(Meses!$B$1))=Meses!A263,0,IF(Meses!A263&lt;'Proposta 1 Via'!$G$10,"",B262+1))</f>
        <v>100</v>
      </c>
    </row>
    <row r="264" spans="1:2" x14ac:dyDescent="0.2">
      <c r="A264" s="513">
        <v>46874</v>
      </c>
      <c r="B264" s="512">
        <f ca="1">+IF(DATE(YEAR('Proposta 1 Via'!$G$10),MONTH('Proposta 1 Via'!$G$10),DAY(Meses!$B$1))=Meses!A264,0,IF(Meses!A264&lt;'Proposta 1 Via'!$G$10,"",B263+1))</f>
        <v>101</v>
      </c>
    </row>
    <row r="265" spans="1:2" x14ac:dyDescent="0.2">
      <c r="A265" s="513">
        <v>46905</v>
      </c>
      <c r="B265" s="512">
        <f ca="1">+IF(DATE(YEAR('Proposta 1 Via'!$G$10),MONTH('Proposta 1 Via'!$G$10),DAY(Meses!$B$1))=Meses!A265,0,IF(Meses!A265&lt;'Proposta 1 Via'!$G$10,"",B264+1))</f>
        <v>102</v>
      </c>
    </row>
    <row r="266" spans="1:2" x14ac:dyDescent="0.2">
      <c r="A266" s="513">
        <v>46935</v>
      </c>
      <c r="B266" s="512">
        <f ca="1">+IF(DATE(YEAR('Proposta 1 Via'!$G$10),MONTH('Proposta 1 Via'!$G$10),DAY(Meses!$B$1))=Meses!A266,0,IF(Meses!A266&lt;'Proposta 1 Via'!$G$10,"",B265+1))</f>
        <v>103</v>
      </c>
    </row>
    <row r="267" spans="1:2" x14ac:dyDescent="0.2">
      <c r="A267" s="513">
        <v>46966</v>
      </c>
      <c r="B267" s="512">
        <f ca="1">+IF(DATE(YEAR('Proposta 1 Via'!$G$10),MONTH('Proposta 1 Via'!$G$10),DAY(Meses!$B$1))=Meses!A267,0,IF(Meses!A267&lt;'Proposta 1 Via'!$G$10,"",B266+1))</f>
        <v>104</v>
      </c>
    </row>
    <row r="268" spans="1:2" x14ac:dyDescent="0.2">
      <c r="A268" s="513">
        <v>46997</v>
      </c>
      <c r="B268" s="512">
        <f ca="1">+IF(DATE(YEAR('Proposta 1 Via'!$G$10),MONTH('Proposta 1 Via'!$G$10),DAY(Meses!$B$1))=Meses!A268,0,IF(Meses!A268&lt;'Proposta 1 Via'!$G$10,"",B267+1))</f>
        <v>105</v>
      </c>
    </row>
    <row r="269" spans="1:2" x14ac:dyDescent="0.2">
      <c r="A269" s="513">
        <v>47027</v>
      </c>
      <c r="B269" s="512">
        <f ca="1">+IF(DATE(YEAR('Proposta 1 Via'!$G$10),MONTH('Proposta 1 Via'!$G$10),DAY(Meses!$B$1))=Meses!A269,0,IF(Meses!A269&lt;'Proposta 1 Via'!$G$10,"",B268+1))</f>
        <v>106</v>
      </c>
    </row>
    <row r="270" spans="1:2" x14ac:dyDescent="0.2">
      <c r="A270" s="513">
        <v>47058</v>
      </c>
      <c r="B270" s="512">
        <f ca="1">+IF(DATE(YEAR('Proposta 1 Via'!$G$10),MONTH('Proposta 1 Via'!$G$10),DAY(Meses!$B$1))=Meses!A270,0,IF(Meses!A270&lt;'Proposta 1 Via'!$G$10,"",B269+1))</f>
        <v>107</v>
      </c>
    </row>
    <row r="271" spans="1:2" x14ac:dyDescent="0.2">
      <c r="A271" s="513">
        <v>47088</v>
      </c>
      <c r="B271" s="512">
        <f ca="1">+IF(DATE(YEAR('Proposta 1 Via'!$G$10),MONTH('Proposta 1 Via'!$G$10),DAY(Meses!$B$1))=Meses!A271,0,IF(Meses!A271&lt;'Proposta 1 Via'!$G$10,"",B270+1))</f>
        <v>108</v>
      </c>
    </row>
    <row r="272" spans="1:2" x14ac:dyDescent="0.2">
      <c r="A272" s="513">
        <v>47119</v>
      </c>
      <c r="B272" s="512">
        <f ca="1">+IF(DATE(YEAR('Proposta 1 Via'!$G$10),MONTH('Proposta 1 Via'!$G$10),DAY(Meses!$B$1))=Meses!A272,0,IF(Meses!A272&lt;'Proposta 1 Via'!$G$10,"",B271+1))</f>
        <v>109</v>
      </c>
    </row>
    <row r="273" spans="1:2" x14ac:dyDescent="0.2">
      <c r="A273" s="513">
        <v>47150</v>
      </c>
      <c r="B273" s="512">
        <f ca="1">+IF(DATE(YEAR('Proposta 1 Via'!$G$10),MONTH('Proposta 1 Via'!$G$10),DAY(Meses!$B$1))=Meses!A273,0,IF(Meses!A273&lt;'Proposta 1 Via'!$G$10,"",B272+1))</f>
        <v>110</v>
      </c>
    </row>
    <row r="274" spans="1:2" x14ac:dyDescent="0.2">
      <c r="A274" s="513">
        <v>47178</v>
      </c>
      <c r="B274" s="512">
        <f ca="1">+IF(DATE(YEAR('Proposta 1 Via'!$G$10),MONTH('Proposta 1 Via'!$G$10),DAY(Meses!$B$1))=Meses!A274,0,IF(Meses!A274&lt;'Proposta 1 Via'!$G$10,"",B273+1))</f>
        <v>111</v>
      </c>
    </row>
    <row r="275" spans="1:2" x14ac:dyDescent="0.2">
      <c r="A275" s="513">
        <v>47209</v>
      </c>
      <c r="B275" s="512">
        <f ca="1">+IF(DATE(YEAR('Proposta 1 Via'!$G$10),MONTH('Proposta 1 Via'!$G$10),DAY(Meses!$B$1))=Meses!A275,0,IF(Meses!A275&lt;'Proposta 1 Via'!$G$10,"",B274+1))</f>
        <v>112</v>
      </c>
    </row>
    <row r="276" spans="1:2" x14ac:dyDescent="0.2">
      <c r="A276" s="513">
        <v>47239</v>
      </c>
      <c r="B276" s="512">
        <f ca="1">+IF(DATE(YEAR('Proposta 1 Via'!$G$10),MONTH('Proposta 1 Via'!$G$10),DAY(Meses!$B$1))=Meses!A276,0,IF(Meses!A276&lt;'Proposta 1 Via'!$G$10,"",B275+1))</f>
        <v>113</v>
      </c>
    </row>
    <row r="277" spans="1:2" x14ac:dyDescent="0.2">
      <c r="A277" s="513">
        <v>47270</v>
      </c>
      <c r="B277" s="512">
        <f ca="1">+IF(DATE(YEAR('Proposta 1 Via'!$G$10),MONTH('Proposta 1 Via'!$G$10),DAY(Meses!$B$1))=Meses!A277,0,IF(Meses!A277&lt;'Proposta 1 Via'!$G$10,"",B276+1))</f>
        <v>114</v>
      </c>
    </row>
    <row r="278" spans="1:2" x14ac:dyDescent="0.2">
      <c r="A278" s="513">
        <v>47300</v>
      </c>
      <c r="B278" s="512">
        <f ca="1">+IF(DATE(YEAR('Proposta 1 Via'!$G$10),MONTH('Proposta 1 Via'!$G$10),DAY(Meses!$B$1))=Meses!A278,0,IF(Meses!A278&lt;'Proposta 1 Via'!$G$10,"",B277+1))</f>
        <v>115</v>
      </c>
    </row>
    <row r="279" spans="1:2" x14ac:dyDescent="0.2">
      <c r="A279" s="513">
        <v>47331</v>
      </c>
      <c r="B279" s="512">
        <f ca="1">+IF(DATE(YEAR('Proposta 1 Via'!$G$10),MONTH('Proposta 1 Via'!$G$10),DAY(Meses!$B$1))=Meses!A279,0,IF(Meses!A279&lt;'Proposta 1 Via'!$G$10,"",B278+1))</f>
        <v>116</v>
      </c>
    </row>
    <row r="280" spans="1:2" x14ac:dyDescent="0.2">
      <c r="A280" s="513">
        <v>47362</v>
      </c>
      <c r="B280" s="512">
        <f ca="1">+IF(DATE(YEAR('Proposta 1 Via'!$G$10),MONTH('Proposta 1 Via'!$G$10),DAY(Meses!$B$1))=Meses!A280,0,IF(Meses!A280&lt;'Proposta 1 Via'!$G$10,"",B279+1))</f>
        <v>117</v>
      </c>
    </row>
    <row r="281" spans="1:2" x14ac:dyDescent="0.2">
      <c r="A281" s="513">
        <v>47392</v>
      </c>
      <c r="B281" s="512">
        <f ca="1">+IF(DATE(YEAR('Proposta 1 Via'!$G$10),MONTH('Proposta 1 Via'!$G$10),DAY(Meses!$B$1))=Meses!A281,0,IF(Meses!A281&lt;'Proposta 1 Via'!$G$10,"",B280+1))</f>
        <v>118</v>
      </c>
    </row>
    <row r="282" spans="1:2" x14ac:dyDescent="0.2">
      <c r="A282" s="513">
        <v>47423</v>
      </c>
      <c r="B282" s="512">
        <f ca="1">+IF(DATE(YEAR('Proposta 1 Via'!$G$10),MONTH('Proposta 1 Via'!$G$10),DAY(Meses!$B$1))=Meses!A282,0,IF(Meses!A282&lt;'Proposta 1 Via'!$G$10,"",B281+1))</f>
        <v>119</v>
      </c>
    </row>
    <row r="283" spans="1:2" x14ac:dyDescent="0.2">
      <c r="A283" s="513">
        <v>47453</v>
      </c>
      <c r="B283" s="512">
        <f ca="1">+IF(DATE(YEAR('Proposta 1 Via'!$G$10),MONTH('Proposta 1 Via'!$G$10),DAY(Meses!$B$1))=Meses!A283,0,IF(Meses!A283&lt;'Proposta 1 Via'!$G$10,"",B282+1))</f>
        <v>120</v>
      </c>
    </row>
    <row r="284" spans="1:2" x14ac:dyDescent="0.2">
      <c r="A284" s="513">
        <v>47484</v>
      </c>
      <c r="B284" s="512">
        <f ca="1">+IF(DATE(YEAR('Proposta 1 Via'!$G$10),MONTH('Proposta 1 Via'!$G$10),DAY(Meses!$B$1))=Meses!A284,0,IF(Meses!A284&lt;'Proposta 1 Via'!$G$10,"",B283+1))</f>
        <v>121</v>
      </c>
    </row>
    <row r="285" spans="1:2" x14ac:dyDescent="0.2">
      <c r="A285" s="513">
        <v>47515</v>
      </c>
      <c r="B285" s="512">
        <f ca="1">+IF(DATE(YEAR('Proposta 1 Via'!$G$10),MONTH('Proposta 1 Via'!$G$10),DAY(Meses!$B$1))=Meses!A285,0,IF(Meses!A285&lt;'Proposta 1 Via'!$G$10,"",B284+1))</f>
        <v>122</v>
      </c>
    </row>
    <row r="286" spans="1:2" x14ac:dyDescent="0.2">
      <c r="A286" s="513">
        <v>47543</v>
      </c>
      <c r="B286" s="512">
        <f ca="1">+IF(DATE(YEAR('Proposta 1 Via'!$G$10),MONTH('Proposta 1 Via'!$G$10),DAY(Meses!$B$1))=Meses!A286,0,IF(Meses!A286&lt;'Proposta 1 Via'!$G$10,"",B285+1))</f>
        <v>123</v>
      </c>
    </row>
    <row r="287" spans="1:2" x14ac:dyDescent="0.2">
      <c r="A287" s="513">
        <v>47574</v>
      </c>
      <c r="B287" s="512">
        <f ca="1">+IF(DATE(YEAR('Proposta 1 Via'!$G$10),MONTH('Proposta 1 Via'!$G$10),DAY(Meses!$B$1))=Meses!A287,0,IF(Meses!A287&lt;'Proposta 1 Via'!$G$10,"",B286+1))</f>
        <v>124</v>
      </c>
    </row>
    <row r="288" spans="1:2" x14ac:dyDescent="0.2">
      <c r="A288" s="513">
        <v>47604</v>
      </c>
      <c r="B288" s="512">
        <f ca="1">+IF(DATE(YEAR('Proposta 1 Via'!$G$10),MONTH('Proposta 1 Via'!$G$10),DAY(Meses!$B$1))=Meses!A288,0,IF(Meses!A288&lt;'Proposta 1 Via'!$G$10,"",B287+1))</f>
        <v>125</v>
      </c>
    </row>
    <row r="289" spans="1:2" x14ac:dyDescent="0.2">
      <c r="A289" s="513">
        <v>47635</v>
      </c>
      <c r="B289" s="512">
        <f ca="1">+IF(DATE(YEAR('Proposta 1 Via'!$G$10),MONTH('Proposta 1 Via'!$G$10),DAY(Meses!$B$1))=Meses!A289,0,IF(Meses!A289&lt;'Proposta 1 Via'!$G$10,"",B288+1))</f>
        <v>126</v>
      </c>
    </row>
    <row r="290" spans="1:2" x14ac:dyDescent="0.2">
      <c r="A290" s="513">
        <v>47665</v>
      </c>
      <c r="B290" s="512">
        <f ca="1">+IF(DATE(YEAR('Proposta 1 Via'!$G$10),MONTH('Proposta 1 Via'!$G$10),DAY(Meses!$B$1))=Meses!A290,0,IF(Meses!A290&lt;'Proposta 1 Via'!$G$10,"",B289+1))</f>
        <v>127</v>
      </c>
    </row>
    <row r="291" spans="1:2" x14ac:dyDescent="0.2">
      <c r="A291" s="513">
        <v>47696</v>
      </c>
      <c r="B291" s="512">
        <f ca="1">+IF(DATE(YEAR('Proposta 1 Via'!$G$10),MONTH('Proposta 1 Via'!$G$10),DAY(Meses!$B$1))=Meses!A291,0,IF(Meses!A291&lt;'Proposta 1 Via'!$G$10,"",B290+1))</f>
        <v>128</v>
      </c>
    </row>
    <row r="292" spans="1:2" x14ac:dyDescent="0.2">
      <c r="A292" s="513">
        <v>47727</v>
      </c>
      <c r="B292" s="512">
        <f ca="1">+IF(DATE(YEAR('Proposta 1 Via'!$G$10),MONTH('Proposta 1 Via'!$G$10),DAY(Meses!$B$1))=Meses!A292,0,IF(Meses!A292&lt;'Proposta 1 Via'!$G$10,"",B291+1))</f>
        <v>129</v>
      </c>
    </row>
    <row r="293" spans="1:2" x14ac:dyDescent="0.2">
      <c r="A293" s="513">
        <v>47757</v>
      </c>
      <c r="B293" s="512">
        <f ca="1">+IF(DATE(YEAR('Proposta 1 Via'!$G$10),MONTH('Proposta 1 Via'!$G$10),DAY(Meses!$B$1))=Meses!A293,0,IF(Meses!A293&lt;'Proposta 1 Via'!$G$10,"",B292+1))</f>
        <v>130</v>
      </c>
    </row>
    <row r="294" spans="1:2" x14ac:dyDescent="0.2">
      <c r="A294" s="513">
        <v>47788</v>
      </c>
      <c r="B294" s="512">
        <f ca="1">+IF(DATE(YEAR('Proposta 1 Via'!$G$10),MONTH('Proposta 1 Via'!$G$10),DAY(Meses!$B$1))=Meses!A294,0,IF(Meses!A294&lt;'Proposta 1 Via'!$G$10,"",B293+1))</f>
        <v>131</v>
      </c>
    </row>
    <row r="295" spans="1:2" x14ac:dyDescent="0.2">
      <c r="A295" s="513">
        <v>47818</v>
      </c>
      <c r="B295" s="512">
        <f ca="1">+IF(DATE(YEAR('Proposta 1 Via'!$G$10),MONTH('Proposta 1 Via'!$G$10),DAY(Meses!$B$1))=Meses!A295,0,IF(Meses!A295&lt;'Proposta 1 Via'!$G$10,"",B294+1))</f>
        <v>132</v>
      </c>
    </row>
    <row r="296" spans="1:2" x14ac:dyDescent="0.2">
      <c r="A296" s="513">
        <v>47849</v>
      </c>
      <c r="B296" s="512">
        <f ca="1">+IF(DATE(YEAR('Proposta 1 Via'!$G$10),MONTH('Proposta 1 Via'!$G$10),DAY(Meses!$B$1))=Meses!A296,0,IF(Meses!A296&lt;'Proposta 1 Via'!$G$10,"",B295+1))</f>
        <v>133</v>
      </c>
    </row>
    <row r="297" spans="1:2" x14ac:dyDescent="0.2">
      <c r="A297" s="513">
        <v>47880</v>
      </c>
      <c r="B297" s="512">
        <f ca="1">+IF(DATE(YEAR('Proposta 1 Via'!$G$10),MONTH('Proposta 1 Via'!$G$10),DAY(Meses!$B$1))=Meses!A297,0,IF(Meses!A297&lt;'Proposta 1 Via'!$G$10,"",B296+1))</f>
        <v>134</v>
      </c>
    </row>
    <row r="298" spans="1:2" x14ac:dyDescent="0.2">
      <c r="A298" s="513">
        <v>47908</v>
      </c>
      <c r="B298" s="512">
        <f ca="1">+IF(DATE(YEAR('Proposta 1 Via'!$G$10),MONTH('Proposta 1 Via'!$G$10),DAY(Meses!$B$1))=Meses!A298,0,IF(Meses!A298&lt;'Proposta 1 Via'!$G$10,"",B297+1))</f>
        <v>135</v>
      </c>
    </row>
    <row r="299" spans="1:2" x14ac:dyDescent="0.2">
      <c r="A299" s="513">
        <v>47939</v>
      </c>
      <c r="B299" s="512">
        <f ca="1">+IF(DATE(YEAR('Proposta 1 Via'!$G$10),MONTH('Proposta 1 Via'!$G$10),DAY(Meses!$B$1))=Meses!A299,0,IF(Meses!A299&lt;'Proposta 1 Via'!$G$10,"",B298+1))</f>
        <v>136</v>
      </c>
    </row>
    <row r="300" spans="1:2" x14ac:dyDescent="0.2">
      <c r="A300" s="513">
        <v>47969</v>
      </c>
      <c r="B300" s="512">
        <f ca="1">+IF(DATE(YEAR('Proposta 1 Via'!$G$10),MONTH('Proposta 1 Via'!$G$10),DAY(Meses!$B$1))=Meses!A300,0,IF(Meses!A300&lt;'Proposta 1 Via'!$G$10,"",B299+1))</f>
        <v>137</v>
      </c>
    </row>
    <row r="301" spans="1:2" x14ac:dyDescent="0.2">
      <c r="A301" s="513">
        <v>48000</v>
      </c>
      <c r="B301" s="512">
        <f ca="1">+IF(DATE(YEAR('Proposta 1 Via'!$G$10),MONTH('Proposta 1 Via'!$G$10),DAY(Meses!$B$1))=Meses!A301,0,IF(Meses!A301&lt;'Proposta 1 Via'!$G$10,"",B300+1))</f>
        <v>138</v>
      </c>
    </row>
    <row r="302" spans="1:2" x14ac:dyDescent="0.2">
      <c r="A302" s="513">
        <v>48030</v>
      </c>
      <c r="B302" s="512">
        <f ca="1">+IF(DATE(YEAR('Proposta 1 Via'!$G$10),MONTH('Proposta 1 Via'!$G$10),DAY(Meses!$B$1))=Meses!A302,0,IF(Meses!A302&lt;'Proposta 1 Via'!$G$10,"",B301+1))</f>
        <v>139</v>
      </c>
    </row>
    <row r="303" spans="1:2" x14ac:dyDescent="0.2">
      <c r="A303" s="513">
        <v>48061</v>
      </c>
      <c r="B303" s="512">
        <f ca="1">+IF(DATE(YEAR('Proposta 1 Via'!$G$10),MONTH('Proposta 1 Via'!$G$10),DAY(Meses!$B$1))=Meses!A303,0,IF(Meses!A303&lt;'Proposta 1 Via'!$G$10,"",B302+1))</f>
        <v>140</v>
      </c>
    </row>
    <row r="304" spans="1:2" x14ac:dyDescent="0.2">
      <c r="A304" s="513">
        <v>48092</v>
      </c>
      <c r="B304" s="512">
        <f ca="1">+IF(DATE(YEAR('Proposta 1 Via'!$G$10),MONTH('Proposta 1 Via'!$G$10),DAY(Meses!$B$1))=Meses!A304,0,IF(Meses!A304&lt;'Proposta 1 Via'!$G$10,"",B303+1))</f>
        <v>141</v>
      </c>
    </row>
    <row r="305" spans="1:2" x14ac:dyDescent="0.2">
      <c r="A305" s="513">
        <v>48122</v>
      </c>
      <c r="B305" s="512">
        <f ca="1">+IF(DATE(YEAR('Proposta 1 Via'!$G$10),MONTH('Proposta 1 Via'!$G$10),DAY(Meses!$B$1))=Meses!A305,0,IF(Meses!A305&lt;'Proposta 1 Via'!$G$10,"",B304+1))</f>
        <v>142</v>
      </c>
    </row>
    <row r="306" spans="1:2" x14ac:dyDescent="0.2">
      <c r="A306" s="513">
        <v>48153</v>
      </c>
      <c r="B306" s="512">
        <f ca="1">+IF(DATE(YEAR('Proposta 1 Via'!$G$10),MONTH('Proposta 1 Via'!$G$10),DAY(Meses!$B$1))=Meses!A306,0,IF(Meses!A306&lt;'Proposta 1 Via'!$G$10,"",B305+1))</f>
        <v>143</v>
      </c>
    </row>
    <row r="307" spans="1:2" x14ac:dyDescent="0.2">
      <c r="A307" s="513">
        <v>48153</v>
      </c>
      <c r="B307" s="512">
        <f ca="1">+IF(DATE(YEAR('Proposta 1 Via'!$G$10),MONTH('Proposta 1 Via'!$G$10),DAY(Meses!$B$1))=Meses!A307,0,IF(Meses!A307&lt;'Proposta 1 Via'!$G$10,"",B306+1))</f>
        <v>144</v>
      </c>
    </row>
    <row r="308" spans="1:2" x14ac:dyDescent="0.2">
      <c r="A308" s="513"/>
    </row>
  </sheetData>
  <sheetProtection password="F3B1" sheet="1" objects="1" scenarios="1"/>
  <phoneticPr fontId="2" type="noConversion"/>
  <conditionalFormatting sqref="C1:C104 C106:C126 C128:C65536">
    <cfRule type="cellIs" dxfId="2" priority="1" stopIfTrue="1" operator="equal">
      <formula>"Chaves Contrato/Cliente"</formula>
    </cfRule>
    <cfRule type="cellIs" dxfId="1" priority="2" stopIfTrue="1" operator="equal">
      <formula>"Chaves"</formula>
    </cfRule>
    <cfRule type="cellIs" dxfId="0" priority="3" stopIfTrue="1" operator="equal">
      <formula>"Financiamento"</formula>
    </cfRule>
  </conditionalFormatting>
  <pageMargins left="0.75" right="0.75" top="1" bottom="1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>
    <tabColor indexed="10"/>
    <pageSetUpPr fitToPage="1"/>
  </sheetPr>
  <dimension ref="A1:EG250"/>
  <sheetViews>
    <sheetView showGridLines="0" topLeftCell="A3" zoomScale="85" workbookViewId="0">
      <selection activeCell="B26" sqref="B26"/>
    </sheetView>
  </sheetViews>
  <sheetFormatPr defaultRowHeight="12.75" x14ac:dyDescent="0.2"/>
  <cols>
    <col min="1" max="1" width="18.7109375" style="4" customWidth="1"/>
    <col min="2" max="2" width="54.28515625" style="22" customWidth="1"/>
    <col min="3" max="3" width="9.28515625" style="22" customWidth="1"/>
    <col min="4" max="9" width="20.7109375" style="4" customWidth="1"/>
    <col min="10" max="10" width="5.140625" style="4" bestFit="1" customWidth="1"/>
    <col min="11" max="11" width="10.28515625" style="4" bestFit="1" customWidth="1"/>
    <col min="12" max="12" width="3.140625" style="4" bestFit="1" customWidth="1"/>
    <col min="13" max="13" width="5.140625" style="4" bestFit="1" customWidth="1"/>
    <col min="14" max="14" width="8.42578125" style="4" bestFit="1" customWidth="1"/>
    <col min="15" max="15" width="11.140625" style="4" bestFit="1" customWidth="1"/>
    <col min="16" max="16" width="71.5703125" style="14" bestFit="1" customWidth="1"/>
    <col min="17" max="17" width="16" style="14" bestFit="1" customWidth="1"/>
    <col min="18" max="18" width="16.42578125" style="14" bestFit="1" customWidth="1"/>
    <col min="19" max="19" width="10.42578125" style="4" customWidth="1"/>
    <col min="20" max="20" width="19.5703125" style="4" customWidth="1"/>
    <col min="21" max="21" width="73.5703125" style="14" bestFit="1" customWidth="1"/>
    <col min="22" max="23" width="19.5703125" style="14" customWidth="1"/>
    <col min="24" max="25" width="19.5703125" style="4" customWidth="1"/>
    <col min="26" max="26" width="28.42578125" style="14" customWidth="1"/>
    <col min="27" max="28" width="19.5703125" style="14" customWidth="1"/>
    <col min="29" max="30" width="19.5703125" style="4" customWidth="1"/>
    <col min="31" max="31" width="27.85546875" style="14" bestFit="1" customWidth="1"/>
    <col min="32" max="33" width="19.5703125" style="14" customWidth="1"/>
    <col min="34" max="35" width="19.5703125" style="4" customWidth="1"/>
    <col min="36" max="38" width="19.5703125" style="14" customWidth="1"/>
    <col min="39" max="40" width="19.5703125" style="4" customWidth="1"/>
    <col min="41" max="43" width="19.5703125" style="14" customWidth="1"/>
    <col min="44" max="45" width="19.5703125" style="4" customWidth="1"/>
    <col min="46" max="48" width="19.5703125" style="14" customWidth="1"/>
    <col min="49" max="50" width="19.5703125" style="4" customWidth="1"/>
    <col min="51" max="53" width="19.5703125" style="14" customWidth="1"/>
    <col min="54" max="55" width="19.5703125" style="4" customWidth="1"/>
    <col min="56" max="58" width="19.5703125" style="14" customWidth="1"/>
    <col min="59" max="60" width="19.5703125" style="4" customWidth="1"/>
    <col min="61" max="63" width="19.5703125" style="14" customWidth="1"/>
    <col min="64" max="65" width="19.5703125" style="4" customWidth="1"/>
    <col min="66" max="68" width="19.5703125" style="14" customWidth="1"/>
    <col min="69" max="70" width="19.5703125" style="4" customWidth="1"/>
    <col min="71" max="73" width="19.5703125" style="14" customWidth="1"/>
    <col min="74" max="75" width="19.5703125" style="4" customWidth="1"/>
    <col min="76" max="78" width="19.5703125" style="14" customWidth="1"/>
    <col min="79" max="80" width="19.5703125" style="4" customWidth="1"/>
    <col min="81" max="83" width="19.5703125" style="14" customWidth="1"/>
    <col min="84" max="85" width="19.5703125" style="4" customWidth="1"/>
    <col min="86" max="88" width="19.5703125" style="14" customWidth="1"/>
    <col min="89" max="89" width="19.5703125" style="4" customWidth="1"/>
    <col min="90" max="16384" width="9.140625" style="4"/>
  </cols>
  <sheetData>
    <row r="1" spans="1:137" hidden="1" x14ac:dyDescent="0.2">
      <c r="O1" s="4">
        <v>1</v>
      </c>
      <c r="P1" s="14">
        <v>2</v>
      </c>
      <c r="Q1" s="4">
        <v>3</v>
      </c>
      <c r="R1" s="4">
        <v>4</v>
      </c>
      <c r="S1" s="14">
        <v>5</v>
      </c>
      <c r="T1" s="4">
        <v>6</v>
      </c>
      <c r="U1" s="4">
        <v>7</v>
      </c>
      <c r="V1" s="14">
        <v>8</v>
      </c>
      <c r="W1" s="4">
        <v>9</v>
      </c>
      <c r="X1" s="4">
        <v>10</v>
      </c>
      <c r="Y1" s="14">
        <v>11</v>
      </c>
      <c r="Z1" s="4">
        <v>12</v>
      </c>
      <c r="AA1" s="4">
        <v>13</v>
      </c>
      <c r="AB1" s="14">
        <v>14</v>
      </c>
      <c r="AC1" s="4">
        <v>15</v>
      </c>
      <c r="AD1" s="4">
        <v>16</v>
      </c>
      <c r="AE1" s="14">
        <v>17</v>
      </c>
      <c r="AF1" s="4">
        <v>18</v>
      </c>
      <c r="AG1" s="4">
        <v>19</v>
      </c>
      <c r="AH1" s="14">
        <v>20</v>
      </c>
      <c r="AI1" s="4">
        <v>21</v>
      </c>
      <c r="AJ1" s="4">
        <v>22</v>
      </c>
      <c r="AK1" s="14">
        <v>23</v>
      </c>
      <c r="AL1" s="4">
        <v>24</v>
      </c>
      <c r="AM1" s="4">
        <v>25</v>
      </c>
      <c r="AN1" s="14">
        <v>26</v>
      </c>
      <c r="AO1" s="4">
        <v>27</v>
      </c>
      <c r="AP1" s="4">
        <v>28</v>
      </c>
      <c r="AQ1" s="14">
        <v>29</v>
      </c>
      <c r="AR1" s="4">
        <v>30</v>
      </c>
      <c r="AS1" s="4">
        <v>31</v>
      </c>
      <c r="AT1" s="14">
        <v>32</v>
      </c>
      <c r="AU1" s="4">
        <v>33</v>
      </c>
      <c r="AV1" s="4">
        <v>34</v>
      </c>
      <c r="AW1" s="14">
        <v>35</v>
      </c>
      <c r="AX1" s="4">
        <v>36</v>
      </c>
      <c r="AY1" s="4">
        <v>37</v>
      </c>
      <c r="AZ1" s="14">
        <v>38</v>
      </c>
      <c r="BA1" s="4">
        <v>39</v>
      </c>
      <c r="BB1" s="4">
        <v>40</v>
      </c>
      <c r="BC1" s="14">
        <v>41</v>
      </c>
      <c r="BD1" s="4">
        <v>42</v>
      </c>
      <c r="BE1" s="4">
        <v>43</v>
      </c>
      <c r="BF1" s="14">
        <v>44</v>
      </c>
      <c r="BG1" s="4">
        <v>45</v>
      </c>
      <c r="BH1" s="4">
        <v>46</v>
      </c>
      <c r="BI1" s="14">
        <v>47</v>
      </c>
      <c r="BJ1" s="4">
        <v>48</v>
      </c>
      <c r="BK1" s="4">
        <v>49</v>
      </c>
      <c r="BL1" s="14">
        <v>50</v>
      </c>
      <c r="BM1" s="4">
        <v>51</v>
      </c>
      <c r="BN1" s="4">
        <v>52</v>
      </c>
      <c r="BO1" s="14">
        <v>53</v>
      </c>
      <c r="BP1" s="4">
        <v>54</v>
      </c>
      <c r="BQ1" s="4">
        <v>55</v>
      </c>
      <c r="BR1" s="14">
        <v>56</v>
      </c>
      <c r="BS1" s="4">
        <v>57</v>
      </c>
      <c r="BT1" s="4">
        <v>58</v>
      </c>
      <c r="BU1" s="14">
        <v>59</v>
      </c>
      <c r="BV1" s="4">
        <v>60</v>
      </c>
      <c r="BW1" s="4">
        <v>61</v>
      </c>
      <c r="BX1" s="14">
        <v>62</v>
      </c>
      <c r="BY1" s="4">
        <v>63</v>
      </c>
      <c r="BZ1" s="4">
        <v>64</v>
      </c>
      <c r="CA1" s="14">
        <v>65</v>
      </c>
      <c r="CB1" s="4">
        <v>66</v>
      </c>
      <c r="CC1" s="4">
        <v>67</v>
      </c>
      <c r="CD1" s="14">
        <v>68</v>
      </c>
      <c r="CE1" s="4">
        <v>69</v>
      </c>
      <c r="CF1" s="4">
        <v>70</v>
      </c>
      <c r="CG1" s="14">
        <v>71</v>
      </c>
      <c r="CH1" s="4">
        <v>72</v>
      </c>
      <c r="CI1" s="4">
        <v>73</v>
      </c>
      <c r="CJ1" s="14">
        <v>74</v>
      </c>
      <c r="CK1" s="4">
        <v>75</v>
      </c>
      <c r="CL1" s="4">
        <v>76</v>
      </c>
      <c r="CM1" s="14">
        <v>77</v>
      </c>
      <c r="CN1" s="4">
        <v>78</v>
      </c>
      <c r="CO1" s="4">
        <v>79</v>
      </c>
      <c r="CP1" s="14">
        <v>80</v>
      </c>
      <c r="CQ1" s="4">
        <v>81</v>
      </c>
      <c r="CR1" s="4">
        <v>82</v>
      </c>
      <c r="CS1" s="14">
        <v>83</v>
      </c>
      <c r="CT1" s="4">
        <v>84</v>
      </c>
      <c r="CU1" s="4">
        <v>85</v>
      </c>
      <c r="CV1" s="14">
        <v>86</v>
      </c>
      <c r="CW1" s="4">
        <v>87</v>
      </c>
      <c r="CX1" s="4">
        <v>88</v>
      </c>
      <c r="CY1" s="14">
        <v>89</v>
      </c>
      <c r="CZ1" s="4">
        <v>90</v>
      </c>
      <c r="DA1" s="4">
        <v>91</v>
      </c>
      <c r="DB1" s="14">
        <v>92</v>
      </c>
      <c r="DC1" s="4">
        <v>93</v>
      </c>
      <c r="DD1" s="4">
        <v>94</v>
      </c>
      <c r="DE1" s="14">
        <v>95</v>
      </c>
      <c r="DF1" s="14">
        <v>96</v>
      </c>
      <c r="DG1" s="4">
        <v>97</v>
      </c>
      <c r="DH1" s="14">
        <v>98</v>
      </c>
      <c r="DI1" s="4">
        <v>99</v>
      </c>
      <c r="DJ1" s="14">
        <v>100</v>
      </c>
      <c r="DK1" s="4">
        <v>101</v>
      </c>
      <c r="DL1" s="14">
        <v>102</v>
      </c>
      <c r="DM1" s="4">
        <v>103</v>
      </c>
      <c r="DN1" s="14">
        <v>104</v>
      </c>
      <c r="DO1" s="4">
        <v>105</v>
      </c>
      <c r="DP1" s="14">
        <v>106</v>
      </c>
      <c r="DQ1" s="4">
        <v>107</v>
      </c>
      <c r="DR1" s="14">
        <v>108</v>
      </c>
      <c r="DS1" s="4">
        <v>109</v>
      </c>
      <c r="DT1" s="14">
        <v>110</v>
      </c>
      <c r="DU1" s="4">
        <v>111</v>
      </c>
      <c r="DV1" s="14">
        <v>112</v>
      </c>
      <c r="DW1" s="4">
        <v>113</v>
      </c>
      <c r="DX1" s="14">
        <v>114</v>
      </c>
      <c r="DY1" s="4">
        <v>115</v>
      </c>
      <c r="DZ1" s="14">
        <v>116</v>
      </c>
      <c r="EA1" s="4">
        <v>117</v>
      </c>
      <c r="EB1" s="14">
        <v>118</v>
      </c>
      <c r="EC1" s="4">
        <v>119</v>
      </c>
      <c r="ED1" s="14">
        <v>120</v>
      </c>
      <c r="EE1" s="4">
        <v>121</v>
      </c>
      <c r="EF1" s="14">
        <v>122</v>
      </c>
      <c r="EG1" s="4">
        <v>123</v>
      </c>
    </row>
    <row r="2" spans="1:137" ht="13.5" hidden="1" thickBot="1" x14ac:dyDescent="0.25"/>
    <row r="3" spans="1:137" ht="21.75" customHeight="1" x14ac:dyDescent="0.2">
      <c r="O3" s="1137" t="s">
        <v>243</v>
      </c>
      <c r="P3" s="1138"/>
      <c r="Q3" s="1138"/>
      <c r="R3" s="1138"/>
      <c r="S3" s="313"/>
      <c r="T3" s="1137" t="s">
        <v>244</v>
      </c>
      <c r="U3" s="1138"/>
      <c r="V3" s="1138"/>
      <c r="W3" s="1138"/>
      <c r="X3" s="313"/>
      <c r="Y3" s="1137" t="s">
        <v>245</v>
      </c>
      <c r="Z3" s="1138"/>
      <c r="AA3" s="1138"/>
      <c r="AB3" s="1138"/>
      <c r="AC3" s="313"/>
      <c r="AD3" s="1137" t="s">
        <v>246</v>
      </c>
      <c r="AE3" s="1138"/>
      <c r="AF3" s="1138"/>
      <c r="AG3" s="1138"/>
      <c r="AH3" s="313"/>
      <c r="AI3" s="1137" t="s">
        <v>247</v>
      </c>
      <c r="AJ3" s="1138"/>
      <c r="AK3" s="1138"/>
      <c r="AL3" s="1138"/>
      <c r="AM3" s="313"/>
      <c r="AN3" s="1137" t="s">
        <v>248</v>
      </c>
      <c r="AO3" s="1138"/>
      <c r="AP3" s="1138"/>
      <c r="AQ3" s="1138"/>
      <c r="AR3" s="313"/>
      <c r="AS3" s="1137" t="s">
        <v>249</v>
      </c>
      <c r="AT3" s="1138"/>
      <c r="AU3" s="1138"/>
      <c r="AV3" s="1138"/>
      <c r="AW3" s="313"/>
      <c r="AX3" s="1137" t="s">
        <v>250</v>
      </c>
      <c r="AY3" s="1138"/>
      <c r="AZ3" s="1138"/>
      <c r="BA3" s="1138"/>
      <c r="BB3" s="313"/>
      <c r="BC3" s="1137" t="s">
        <v>251</v>
      </c>
      <c r="BD3" s="1138"/>
      <c r="BE3" s="1138"/>
      <c r="BF3" s="1138"/>
      <c r="BG3" s="313"/>
      <c r="BH3" s="1137" t="s">
        <v>252</v>
      </c>
      <c r="BI3" s="1138"/>
      <c r="BJ3" s="1138"/>
      <c r="BK3" s="1138"/>
      <c r="BL3" s="313"/>
      <c r="BM3" s="1137" t="s">
        <v>253</v>
      </c>
      <c r="BN3" s="1138"/>
      <c r="BO3" s="1138"/>
      <c r="BP3" s="1138"/>
      <c r="BQ3" s="313"/>
      <c r="BR3" s="1137" t="s">
        <v>254</v>
      </c>
      <c r="BS3" s="1138"/>
      <c r="BT3" s="1138"/>
      <c r="BU3" s="1138"/>
      <c r="BV3" s="313"/>
      <c r="BW3" s="1137" t="s">
        <v>255</v>
      </c>
      <c r="BX3" s="1138"/>
      <c r="BY3" s="1138"/>
      <c r="BZ3" s="1138"/>
      <c r="CA3" s="313"/>
      <c r="CB3" s="1137" t="s">
        <v>256</v>
      </c>
      <c r="CC3" s="1138"/>
      <c r="CD3" s="1138"/>
      <c r="CE3" s="1138"/>
      <c r="CF3" s="313"/>
      <c r="CG3" s="1137"/>
      <c r="CH3" s="1138"/>
      <c r="CI3" s="1138"/>
      <c r="CJ3" s="1139"/>
    </row>
    <row r="4" spans="1:137" ht="21" customHeight="1" x14ac:dyDescent="0.2">
      <c r="O4" s="364" t="s">
        <v>471</v>
      </c>
      <c r="P4" s="340"/>
      <c r="Q4" s="340"/>
      <c r="R4" s="340"/>
      <c r="S4" s="314"/>
      <c r="T4" s="364" t="s">
        <v>305</v>
      </c>
      <c r="U4" s="351"/>
      <c r="V4" s="351"/>
      <c r="W4" s="351"/>
      <c r="X4" s="314"/>
      <c r="Y4" s="364"/>
      <c r="Z4" s="382"/>
      <c r="AA4" s="382"/>
      <c r="AB4" s="382"/>
      <c r="AC4" s="314"/>
      <c r="AD4" s="364"/>
      <c r="AE4" s="382"/>
      <c r="AF4" s="382"/>
      <c r="AG4" s="382"/>
      <c r="AH4" s="314"/>
      <c r="AI4" s="364"/>
      <c r="AJ4" s="382"/>
      <c r="AK4" s="382"/>
      <c r="AL4" s="382"/>
      <c r="AM4" s="314"/>
      <c r="AN4" s="364"/>
      <c r="AO4" s="26"/>
      <c r="AP4" s="26"/>
      <c r="AQ4" s="26"/>
      <c r="AR4" s="314"/>
      <c r="AS4" s="364"/>
      <c r="AT4" s="26"/>
      <c r="AU4" s="26"/>
      <c r="AV4" s="26"/>
      <c r="AW4" s="314"/>
      <c r="AX4" s="295"/>
      <c r="AY4" s="26"/>
      <c r="AZ4" s="26"/>
      <c r="BA4" s="26"/>
      <c r="BB4" s="314"/>
      <c r="BC4" s="295"/>
      <c r="BD4" s="26"/>
      <c r="BE4" s="26"/>
      <c r="BF4" s="26"/>
      <c r="BG4" s="314"/>
      <c r="BH4" s="295"/>
      <c r="BI4" s="26"/>
      <c r="BJ4" s="26"/>
      <c r="BK4" s="26"/>
      <c r="BL4" s="314"/>
      <c r="BM4" s="295"/>
      <c r="BN4" s="26"/>
      <c r="BO4" s="26"/>
      <c r="BP4" s="26"/>
      <c r="BQ4" s="314"/>
      <c r="BR4" s="295"/>
      <c r="BS4" s="26"/>
      <c r="BT4" s="26"/>
      <c r="BU4" s="26"/>
      <c r="BV4" s="314"/>
      <c r="BW4" s="295"/>
      <c r="BX4" s="26"/>
      <c r="BY4" s="26"/>
      <c r="BZ4" s="26"/>
      <c r="CA4" s="314"/>
      <c r="CB4" s="295"/>
      <c r="CC4" s="26"/>
      <c r="CD4" s="26"/>
      <c r="CE4" s="26"/>
      <c r="CF4" s="314"/>
      <c r="CG4" s="18"/>
      <c r="CH4" s="26"/>
      <c r="CI4" s="26"/>
      <c r="CJ4" s="38"/>
    </row>
    <row r="5" spans="1:137" ht="21" customHeight="1" x14ac:dyDescent="0.2">
      <c r="O5" s="18"/>
      <c r="P5" s="26"/>
      <c r="Q5" s="26"/>
      <c r="R5" s="26"/>
      <c r="S5" s="314"/>
      <c r="T5" s="18"/>
      <c r="U5" s="26"/>
      <c r="V5" s="26"/>
      <c r="W5" s="26"/>
      <c r="X5" s="314"/>
      <c r="Y5" s="18"/>
      <c r="Z5" s="26"/>
      <c r="AA5" s="26"/>
      <c r="AB5" s="26"/>
      <c r="AC5" s="314"/>
      <c r="AD5" s="18"/>
      <c r="AE5" s="26"/>
      <c r="AF5" s="26"/>
      <c r="AG5" s="26"/>
      <c r="AH5" s="314"/>
      <c r="AI5" s="18"/>
      <c r="AJ5" s="26"/>
      <c r="AK5" s="26"/>
      <c r="AL5" s="26"/>
      <c r="AM5" s="314"/>
      <c r="AN5" s="18"/>
      <c r="AO5" s="26"/>
      <c r="AP5" s="26"/>
      <c r="AQ5" s="26"/>
      <c r="AR5" s="314"/>
      <c r="AS5" s="18"/>
      <c r="AT5" s="26"/>
      <c r="AU5" s="26"/>
      <c r="AV5" s="26"/>
      <c r="AW5" s="314"/>
      <c r="AX5" s="18"/>
      <c r="AY5" s="26"/>
      <c r="AZ5" s="26"/>
      <c r="BA5" s="26"/>
      <c r="BB5" s="314"/>
      <c r="BC5" s="18"/>
      <c r="BD5" s="26"/>
      <c r="BE5" s="26"/>
      <c r="BF5" s="26"/>
      <c r="BG5" s="314"/>
      <c r="BH5" s="18"/>
      <c r="BI5" s="26"/>
      <c r="BJ5" s="26"/>
      <c r="BK5" s="26"/>
      <c r="BL5" s="314"/>
      <c r="BM5" s="18"/>
      <c r="BN5" s="26"/>
      <c r="BO5" s="26"/>
      <c r="BP5" s="26"/>
      <c r="BQ5" s="314"/>
      <c r="BR5" s="18"/>
      <c r="BS5" s="26"/>
      <c r="BT5" s="26"/>
      <c r="BU5" s="26"/>
      <c r="BV5" s="314"/>
      <c r="BW5" s="18"/>
      <c r="BX5" s="26"/>
      <c r="BY5" s="26"/>
      <c r="BZ5" s="26"/>
      <c r="CA5" s="314"/>
      <c r="CB5" s="18"/>
      <c r="CC5" s="26"/>
      <c r="CD5" s="26"/>
      <c r="CE5" s="26"/>
      <c r="CF5" s="314"/>
      <c r="CG5" s="37"/>
      <c r="CH5" s="12"/>
      <c r="CI5" s="12"/>
      <c r="CJ5" s="50"/>
    </row>
    <row r="6" spans="1:137" ht="21" customHeight="1" x14ac:dyDescent="0.2">
      <c r="C6" s="22">
        <v>1</v>
      </c>
      <c r="D6" s="4">
        <v>2</v>
      </c>
      <c r="E6" s="22">
        <v>3</v>
      </c>
      <c r="F6" s="4">
        <v>4</v>
      </c>
      <c r="G6" s="22">
        <v>5</v>
      </c>
      <c r="H6" s="4">
        <v>6</v>
      </c>
      <c r="I6" s="22">
        <v>7</v>
      </c>
      <c r="J6" s="4">
        <v>8</v>
      </c>
      <c r="K6" s="22">
        <v>9</v>
      </c>
      <c r="L6" s="4">
        <v>10</v>
      </c>
      <c r="M6" s="22">
        <v>11</v>
      </c>
      <c r="N6" s="4">
        <v>12</v>
      </c>
      <c r="O6" s="1140" t="s">
        <v>153</v>
      </c>
      <c r="P6" s="1141"/>
      <c r="Q6" s="1141"/>
      <c r="R6" s="1141"/>
      <c r="S6" s="314"/>
      <c r="T6" s="1140" t="s">
        <v>153</v>
      </c>
      <c r="U6" s="1141"/>
      <c r="V6" s="1141"/>
      <c r="W6" s="1141"/>
      <c r="X6" s="314"/>
      <c r="Y6" s="1140" t="s">
        <v>153</v>
      </c>
      <c r="Z6" s="1141"/>
      <c r="AA6" s="1141"/>
      <c r="AB6" s="1141"/>
      <c r="AC6" s="314"/>
      <c r="AD6" s="1140" t="s">
        <v>153</v>
      </c>
      <c r="AE6" s="1141"/>
      <c r="AF6" s="1141"/>
      <c r="AG6" s="1141"/>
      <c r="AH6" s="314"/>
      <c r="AI6" s="1140" t="s">
        <v>153</v>
      </c>
      <c r="AJ6" s="1141"/>
      <c r="AK6" s="1141"/>
      <c r="AL6" s="1141"/>
      <c r="AM6" s="314"/>
      <c r="AN6" s="1140" t="s">
        <v>153</v>
      </c>
      <c r="AO6" s="1141"/>
      <c r="AP6" s="1141"/>
      <c r="AQ6" s="1141"/>
      <c r="AR6" s="314"/>
      <c r="AS6" s="1140" t="s">
        <v>153</v>
      </c>
      <c r="AT6" s="1141"/>
      <c r="AU6" s="1141"/>
      <c r="AV6" s="1141"/>
      <c r="AW6" s="314"/>
      <c r="AX6" s="1140" t="s">
        <v>153</v>
      </c>
      <c r="AY6" s="1141"/>
      <c r="AZ6" s="1141"/>
      <c r="BA6" s="1141"/>
      <c r="BB6" s="314"/>
      <c r="BC6" s="1140" t="s">
        <v>153</v>
      </c>
      <c r="BD6" s="1141"/>
      <c r="BE6" s="1141"/>
      <c r="BF6" s="1141"/>
      <c r="BG6" s="314"/>
      <c r="BH6" s="1140" t="s">
        <v>153</v>
      </c>
      <c r="BI6" s="1141"/>
      <c r="BJ6" s="1141"/>
      <c r="BK6" s="1141"/>
      <c r="BL6" s="314"/>
      <c r="BM6" s="1140" t="s">
        <v>153</v>
      </c>
      <c r="BN6" s="1141"/>
      <c r="BO6" s="1141"/>
      <c r="BP6" s="1141"/>
      <c r="BQ6" s="314"/>
      <c r="BR6" s="1140" t="s">
        <v>153</v>
      </c>
      <c r="BS6" s="1141"/>
      <c r="BT6" s="1141"/>
      <c r="BU6" s="1141"/>
      <c r="BV6" s="314"/>
      <c r="BW6" s="1140" t="s">
        <v>153</v>
      </c>
      <c r="BX6" s="1141"/>
      <c r="BY6" s="1141"/>
      <c r="BZ6" s="1141"/>
      <c r="CA6" s="314"/>
      <c r="CB6" s="1140" t="s">
        <v>153</v>
      </c>
      <c r="CC6" s="1141"/>
      <c r="CD6" s="1141"/>
      <c r="CE6" s="1141"/>
      <c r="CF6" s="314"/>
      <c r="CG6" s="1147"/>
      <c r="CH6" s="1148"/>
      <c r="CI6" s="1148"/>
      <c r="CJ6" s="1149"/>
    </row>
    <row r="7" spans="1:137" ht="21" customHeight="1" x14ac:dyDescent="0.2">
      <c r="A7" s="4">
        <v>1</v>
      </c>
      <c r="B7" s="22">
        <v>2</v>
      </c>
      <c r="C7" s="4">
        <v>3</v>
      </c>
      <c r="D7" s="22">
        <v>4</v>
      </c>
      <c r="E7" s="4">
        <v>5</v>
      </c>
      <c r="F7" s="22">
        <v>6</v>
      </c>
      <c r="G7" s="4">
        <v>7</v>
      </c>
      <c r="H7" s="22">
        <v>8</v>
      </c>
      <c r="I7" s="4">
        <v>9</v>
      </c>
      <c r="J7" s="22">
        <v>10</v>
      </c>
      <c r="K7" s="4">
        <v>11</v>
      </c>
      <c r="L7" s="4">
        <v>12</v>
      </c>
      <c r="O7" s="1145">
        <v>240000</v>
      </c>
      <c r="P7" s="1146"/>
      <c r="Q7" s="1146"/>
      <c r="R7" s="1146"/>
      <c r="S7" s="315"/>
      <c r="T7" s="1145">
        <v>250000</v>
      </c>
      <c r="U7" s="1146"/>
      <c r="V7" s="1146"/>
      <c r="W7" s="1146"/>
      <c r="X7" s="315"/>
      <c r="Y7" s="1145">
        <v>190000</v>
      </c>
      <c r="Z7" s="1146"/>
      <c r="AA7" s="1146"/>
      <c r="AB7" s="1146"/>
      <c r="AC7" s="315"/>
      <c r="AD7" s="1145">
        <v>190000</v>
      </c>
      <c r="AE7" s="1146"/>
      <c r="AF7" s="1146"/>
      <c r="AG7" s="1146"/>
      <c r="AH7" s="315"/>
      <c r="AI7" s="1145">
        <v>170000</v>
      </c>
      <c r="AJ7" s="1146"/>
      <c r="AK7" s="1146"/>
      <c r="AL7" s="1146"/>
      <c r="AM7" s="315"/>
      <c r="AN7" s="1145">
        <v>170000</v>
      </c>
      <c r="AO7" s="1146"/>
      <c r="AP7" s="1146"/>
      <c r="AQ7" s="1146"/>
      <c r="AR7" s="315"/>
      <c r="AS7" s="1145">
        <v>170000</v>
      </c>
      <c r="AT7" s="1146"/>
      <c r="AU7" s="1146"/>
      <c r="AV7" s="1146"/>
      <c r="AW7" s="315"/>
      <c r="AX7" s="1145">
        <v>130000</v>
      </c>
      <c r="AY7" s="1146"/>
      <c r="AZ7" s="1146"/>
      <c r="BA7" s="1146"/>
      <c r="BB7" s="315"/>
      <c r="BC7" s="1145">
        <v>130000</v>
      </c>
      <c r="BD7" s="1146"/>
      <c r="BE7" s="1146"/>
      <c r="BF7" s="1146"/>
      <c r="BG7" s="315"/>
      <c r="BH7" s="1145">
        <v>130000</v>
      </c>
      <c r="BI7" s="1146"/>
      <c r="BJ7" s="1146"/>
      <c r="BK7" s="1146"/>
      <c r="BL7" s="315"/>
      <c r="BM7" s="1145">
        <v>130000</v>
      </c>
      <c r="BN7" s="1146"/>
      <c r="BO7" s="1146"/>
      <c r="BP7" s="1146"/>
      <c r="BQ7" s="315"/>
      <c r="BR7" s="1145">
        <v>130000</v>
      </c>
      <c r="BS7" s="1146"/>
      <c r="BT7" s="1146"/>
      <c r="BU7" s="1146"/>
      <c r="BV7" s="315"/>
      <c r="BW7" s="1145">
        <v>130000</v>
      </c>
      <c r="BX7" s="1146"/>
      <c r="BY7" s="1146"/>
      <c r="BZ7" s="1146"/>
      <c r="CA7" s="315"/>
      <c r="CB7" s="1145">
        <v>130000</v>
      </c>
      <c r="CC7" s="1146"/>
      <c r="CD7" s="1146"/>
      <c r="CE7" s="1146"/>
      <c r="CF7" s="315"/>
      <c r="CG7" s="1142"/>
      <c r="CH7" s="1143"/>
      <c r="CI7" s="1143"/>
      <c r="CJ7" s="1144"/>
    </row>
    <row r="8" spans="1:137" ht="11.25" customHeight="1" x14ac:dyDescent="0.2">
      <c r="A8" s="1150" t="s">
        <v>147</v>
      </c>
      <c r="B8" s="1150"/>
      <c r="C8" s="1150"/>
      <c r="D8" s="79" t="s">
        <v>14</v>
      </c>
      <c r="E8" s="79"/>
      <c r="F8" s="79" t="s">
        <v>141</v>
      </c>
      <c r="G8" s="79"/>
      <c r="H8" s="79"/>
      <c r="I8" s="80"/>
      <c r="J8" s="1151" t="str">
        <f>P9</f>
        <v>Prazo Para Chaves</v>
      </c>
      <c r="K8" s="1151" t="s">
        <v>170</v>
      </c>
      <c r="L8" s="80" t="s">
        <v>18</v>
      </c>
      <c r="M8" s="80" t="s">
        <v>176</v>
      </c>
      <c r="N8" s="306" t="s">
        <v>18</v>
      </c>
      <c r="O8" s="37"/>
      <c r="P8" s="39"/>
      <c r="Q8" s="39"/>
      <c r="R8" s="39"/>
      <c r="S8" s="50"/>
      <c r="T8" s="37"/>
      <c r="U8" s="39"/>
      <c r="V8" s="39"/>
      <c r="W8" s="39"/>
      <c r="X8" s="50"/>
      <c r="Y8" s="37"/>
      <c r="Z8" s="39"/>
      <c r="AA8" s="39"/>
      <c r="AB8" s="39"/>
      <c r="AC8" s="50"/>
      <c r="AD8" s="37"/>
      <c r="AE8" s="39"/>
      <c r="AF8" s="39"/>
      <c r="AG8" s="39"/>
      <c r="AH8" s="50"/>
      <c r="AI8" s="37"/>
      <c r="AJ8" s="39"/>
      <c r="AK8" s="39"/>
      <c r="AL8" s="39"/>
      <c r="AM8" s="50"/>
      <c r="AN8" s="37"/>
      <c r="AO8" s="39"/>
      <c r="AP8" s="39"/>
      <c r="AQ8" s="39"/>
      <c r="AR8" s="50"/>
      <c r="AS8" s="37"/>
      <c r="AT8" s="39"/>
      <c r="AU8" s="39"/>
      <c r="AV8" s="39"/>
      <c r="AW8" s="50"/>
      <c r="AX8" s="37"/>
      <c r="AY8" s="39"/>
      <c r="AZ8" s="39"/>
      <c r="BA8" s="39"/>
      <c r="BB8" s="50"/>
      <c r="BC8" s="37"/>
      <c r="BD8" s="39"/>
      <c r="BE8" s="39"/>
      <c r="BF8" s="39"/>
      <c r="BG8" s="50"/>
      <c r="BH8" s="37"/>
      <c r="BI8" s="39"/>
      <c r="BJ8" s="39"/>
      <c r="BK8" s="39"/>
      <c r="BL8" s="50"/>
      <c r="BM8" s="37"/>
      <c r="BN8" s="39"/>
      <c r="BO8" s="39"/>
      <c r="BP8" s="39"/>
      <c r="BQ8" s="50"/>
      <c r="BR8" s="37"/>
      <c r="BS8" s="39"/>
      <c r="BT8" s="39"/>
      <c r="BU8" s="39"/>
      <c r="BV8" s="50"/>
      <c r="BW8" s="37"/>
      <c r="BX8" s="39"/>
      <c r="BY8" s="39"/>
      <c r="BZ8" s="39"/>
      <c r="CA8" s="50"/>
      <c r="CB8" s="37"/>
      <c r="CC8" s="39"/>
      <c r="CD8" s="39"/>
      <c r="CE8" s="39"/>
      <c r="CF8" s="50"/>
      <c r="CG8" s="37"/>
      <c r="CH8" s="39"/>
      <c r="CI8" s="39"/>
      <c r="CJ8" s="40"/>
    </row>
    <row r="9" spans="1:137" ht="25.5" x14ac:dyDescent="0.2">
      <c r="A9" s="1150"/>
      <c r="B9" s="1150"/>
      <c r="C9" s="1150"/>
      <c r="D9" s="79" t="s">
        <v>166</v>
      </c>
      <c r="E9" s="79" t="s">
        <v>167</v>
      </c>
      <c r="F9" s="79" t="s">
        <v>138</v>
      </c>
      <c r="G9" s="79" t="s">
        <v>139</v>
      </c>
      <c r="H9" s="79" t="s">
        <v>140</v>
      </c>
      <c r="I9" s="80" t="s">
        <v>155</v>
      </c>
      <c r="J9" s="1151"/>
      <c r="K9" s="1151"/>
      <c r="L9" s="80"/>
      <c r="M9" s="80"/>
      <c r="N9" s="306"/>
      <c r="O9" s="37"/>
      <c r="P9" s="321" t="s">
        <v>242</v>
      </c>
      <c r="Q9" s="19" t="s">
        <v>169</v>
      </c>
      <c r="R9" s="304"/>
      <c r="S9" s="50"/>
      <c r="T9" s="37"/>
      <c r="U9" s="321" t="s">
        <v>242</v>
      </c>
      <c r="V9" s="19" t="s">
        <v>169</v>
      </c>
      <c r="W9" s="304"/>
      <c r="X9" s="50"/>
      <c r="Y9" s="37"/>
      <c r="Z9" s="321" t="s">
        <v>242</v>
      </c>
      <c r="AA9" s="19" t="s">
        <v>169</v>
      </c>
      <c r="AB9" s="304"/>
      <c r="AC9" s="50"/>
      <c r="AD9" s="37"/>
      <c r="AE9" s="321" t="s">
        <v>242</v>
      </c>
      <c r="AF9" s="19" t="s">
        <v>169</v>
      </c>
      <c r="AG9" s="304"/>
      <c r="AH9" s="50"/>
      <c r="AI9" s="37"/>
      <c r="AJ9" s="321" t="s">
        <v>242</v>
      </c>
      <c r="AK9" s="19" t="s">
        <v>169</v>
      </c>
      <c r="AL9" s="304"/>
      <c r="AM9" s="50"/>
      <c r="AN9" s="37"/>
      <c r="AO9" s="321" t="s">
        <v>242</v>
      </c>
      <c r="AP9" s="19" t="s">
        <v>169</v>
      </c>
      <c r="AQ9" s="304"/>
      <c r="AR9" s="50"/>
      <c r="AS9" s="37"/>
      <c r="AT9" s="321" t="s">
        <v>242</v>
      </c>
      <c r="AU9" s="19" t="s">
        <v>169</v>
      </c>
      <c r="AV9" s="304"/>
      <c r="AW9" s="50"/>
      <c r="AX9" s="37"/>
      <c r="AY9" s="321" t="s">
        <v>242</v>
      </c>
      <c r="AZ9" s="19" t="s">
        <v>169</v>
      </c>
      <c r="BA9" s="304"/>
      <c r="BB9" s="50"/>
      <c r="BC9" s="37"/>
      <c r="BD9" s="321" t="s">
        <v>242</v>
      </c>
      <c r="BE9" s="19" t="s">
        <v>169</v>
      </c>
      <c r="BF9" s="304"/>
      <c r="BG9" s="50"/>
      <c r="BH9" s="37"/>
      <c r="BI9" s="321" t="s">
        <v>242</v>
      </c>
      <c r="BJ9" s="19" t="s">
        <v>169</v>
      </c>
      <c r="BK9" s="304"/>
      <c r="BL9" s="50"/>
      <c r="BM9" s="37"/>
      <c r="BN9" s="321" t="s">
        <v>242</v>
      </c>
      <c r="BO9" s="19" t="s">
        <v>169</v>
      </c>
      <c r="BP9" s="304"/>
      <c r="BQ9" s="50"/>
      <c r="BR9" s="37"/>
      <c r="BS9" s="321" t="s">
        <v>242</v>
      </c>
      <c r="BT9" s="19" t="s">
        <v>169</v>
      </c>
      <c r="BU9" s="304"/>
      <c r="BV9" s="50"/>
      <c r="BW9" s="37"/>
      <c r="BX9" s="321" t="s">
        <v>242</v>
      </c>
      <c r="BY9" s="19" t="s">
        <v>169</v>
      </c>
      <c r="BZ9" s="304"/>
      <c r="CA9" s="50"/>
      <c r="CB9" s="37"/>
      <c r="CC9" s="321" t="s">
        <v>168</v>
      </c>
      <c r="CD9" s="19" t="s">
        <v>169</v>
      </c>
      <c r="CE9" s="304"/>
      <c r="CF9" s="50"/>
      <c r="CG9" s="37"/>
      <c r="CH9" s="20"/>
      <c r="CI9" s="21"/>
      <c r="CJ9" s="56"/>
    </row>
    <row r="10" spans="1:137" x14ac:dyDescent="0.2">
      <c r="A10" s="82">
        <v>1</v>
      </c>
      <c r="B10" s="83" t="str">
        <f>O4</f>
        <v>Exato Rio Grande</v>
      </c>
      <c r="C10" s="82">
        <v>1</v>
      </c>
      <c r="D10" s="81">
        <v>3</v>
      </c>
      <c r="E10" s="81">
        <f>D10+1</f>
        <v>4</v>
      </c>
      <c r="F10" s="81">
        <v>2</v>
      </c>
      <c r="G10" s="81">
        <v>3</v>
      </c>
      <c r="H10" s="81">
        <f>4</f>
        <v>4</v>
      </c>
      <c r="I10" s="84">
        <f>O7</f>
        <v>240000</v>
      </c>
      <c r="J10" s="84">
        <f>P10</f>
        <v>38</v>
      </c>
      <c r="K10" s="85">
        <v>44165</v>
      </c>
      <c r="L10" s="84"/>
      <c r="M10" s="84">
        <f>O14</f>
        <v>0</v>
      </c>
      <c r="N10" s="306">
        <v>5</v>
      </c>
      <c r="O10" s="37"/>
      <c r="P10" s="361">
        <v>38</v>
      </c>
      <c r="Q10" s="362">
        <v>44134</v>
      </c>
      <c r="R10" s="304"/>
      <c r="S10" s="307"/>
      <c r="T10" s="37"/>
      <c r="U10" s="361">
        <f>P10</f>
        <v>38</v>
      </c>
      <c r="V10" s="362">
        <f>Q10</f>
        <v>44134</v>
      </c>
      <c r="W10" s="304"/>
      <c r="X10" s="307"/>
      <c r="Y10" s="37"/>
      <c r="Z10" s="361"/>
      <c r="AA10" s="362"/>
      <c r="AB10" s="304"/>
      <c r="AC10" s="307"/>
      <c r="AD10" s="37"/>
      <c r="AE10" s="361"/>
      <c r="AF10" s="362"/>
      <c r="AG10" s="304"/>
      <c r="AH10" s="307"/>
      <c r="AI10" s="37"/>
      <c r="AJ10" s="361">
        <f>AE10</f>
        <v>0</v>
      </c>
      <c r="AK10" s="362"/>
      <c r="AL10" s="304"/>
      <c r="AM10" s="307"/>
      <c r="AN10" s="37"/>
      <c r="AO10" s="296"/>
      <c r="AP10" s="297"/>
      <c r="AQ10" s="304"/>
      <c r="AR10" s="307"/>
      <c r="AS10" s="37"/>
      <c r="AT10" s="296"/>
      <c r="AU10" s="297"/>
      <c r="AV10" s="304"/>
      <c r="AW10" s="307"/>
      <c r="AX10" s="37"/>
      <c r="AY10" s="296"/>
      <c r="AZ10" s="297"/>
      <c r="BA10" s="304"/>
      <c r="BB10" s="307"/>
      <c r="BC10" s="37"/>
      <c r="BD10" s="296"/>
      <c r="BE10" s="297"/>
      <c r="BF10" s="304"/>
      <c r="BG10" s="307"/>
      <c r="BH10" s="37"/>
      <c r="BI10" s="296"/>
      <c r="BJ10" s="297"/>
      <c r="BK10" s="304"/>
      <c r="BL10" s="307"/>
      <c r="BM10" s="37"/>
      <c r="BN10" s="296"/>
      <c r="BO10" s="297"/>
      <c r="BP10" s="304"/>
      <c r="BQ10" s="307"/>
      <c r="BR10" s="37"/>
      <c r="BS10" s="296"/>
      <c r="BT10" s="297"/>
      <c r="BU10" s="304"/>
      <c r="BV10" s="307"/>
      <c r="BW10" s="37"/>
      <c r="BX10" s="296"/>
      <c r="BY10" s="297"/>
      <c r="BZ10" s="304"/>
      <c r="CA10" s="307"/>
      <c r="CB10" s="37"/>
      <c r="CC10" s="296"/>
      <c r="CD10" s="297"/>
      <c r="CE10" s="304"/>
      <c r="CF10" s="307"/>
      <c r="CG10" s="37"/>
      <c r="CH10" s="20"/>
      <c r="CI10" s="21"/>
      <c r="CJ10" s="13"/>
    </row>
    <row r="11" spans="1:137" ht="13.5" thickBot="1" x14ac:dyDescent="0.25">
      <c r="A11" s="82">
        <v>2</v>
      </c>
      <c r="B11" s="83" t="str">
        <f>T4</f>
        <v>DEZ VISTA ALEGRE - BLOCOS 1 e 2</v>
      </c>
      <c r="C11" s="82">
        <v>2</v>
      </c>
      <c r="D11" s="81">
        <f>D10+5</f>
        <v>8</v>
      </c>
      <c r="E11" s="81">
        <f t="shared" ref="E11:E23" si="0">D11+1</f>
        <v>9</v>
      </c>
      <c r="F11" s="81">
        <f>F10+5</f>
        <v>7</v>
      </c>
      <c r="G11" s="81">
        <f>G10+5</f>
        <v>8</v>
      </c>
      <c r="H11" s="81">
        <f>H10+5</f>
        <v>9</v>
      </c>
      <c r="I11" s="84">
        <f>T7</f>
        <v>250000</v>
      </c>
      <c r="J11" s="84">
        <f>U10</f>
        <v>38</v>
      </c>
      <c r="K11" s="85">
        <v>44165</v>
      </c>
      <c r="L11" s="84"/>
      <c r="M11" s="84">
        <f>W10</f>
        <v>0</v>
      </c>
      <c r="N11" s="306">
        <f>N10+5</f>
        <v>10</v>
      </c>
      <c r="O11" s="37"/>
      <c r="P11" s="39"/>
      <c r="Q11" s="303"/>
      <c r="R11" s="305"/>
      <c r="S11" s="307"/>
      <c r="T11" s="37"/>
      <c r="U11" s="39"/>
      <c r="V11" s="303"/>
      <c r="W11" s="305"/>
      <c r="X11" s="307"/>
      <c r="Y11" s="37"/>
      <c r="Z11" s="39"/>
      <c r="AA11" s="303"/>
      <c r="AB11" s="305"/>
      <c r="AC11" s="307"/>
      <c r="AD11" s="37"/>
      <c r="AE11" s="39"/>
      <c r="AF11" s="303"/>
      <c r="AG11" s="305"/>
      <c r="AH11" s="307"/>
      <c r="AI11" s="37"/>
      <c r="AJ11" s="39"/>
      <c r="AK11" s="303"/>
      <c r="AL11" s="305"/>
      <c r="AM11" s="307"/>
      <c r="AN11" s="37"/>
      <c r="AO11" s="39"/>
      <c r="AP11" s="303"/>
      <c r="AQ11" s="305"/>
      <c r="AR11" s="307"/>
      <c r="AS11" s="37"/>
      <c r="AT11" s="39"/>
      <c r="AU11" s="303"/>
      <c r="AV11" s="305"/>
      <c r="AW11" s="307"/>
      <c r="AX11" s="37"/>
      <c r="AY11" s="39"/>
      <c r="AZ11" s="303"/>
      <c r="BA11" s="305"/>
      <c r="BB11" s="307"/>
      <c r="BC11" s="37"/>
      <c r="BD11" s="39"/>
      <c r="BE11" s="303"/>
      <c r="BF11" s="305"/>
      <c r="BG11" s="307"/>
      <c r="BH11" s="37"/>
      <c r="BI11" s="39"/>
      <c r="BJ11" s="303"/>
      <c r="BK11" s="305"/>
      <c r="BL11" s="307"/>
      <c r="BM11" s="37"/>
      <c r="BN11" s="39"/>
      <c r="BO11" s="303"/>
      <c r="BP11" s="305"/>
      <c r="BQ11" s="307"/>
      <c r="BR11" s="37"/>
      <c r="BS11" s="39"/>
      <c r="BT11" s="303"/>
      <c r="BU11" s="305"/>
      <c r="BV11" s="307"/>
      <c r="BW11" s="37"/>
      <c r="BX11" s="39"/>
      <c r="BY11" s="303"/>
      <c r="BZ11" s="305"/>
      <c r="CA11" s="307"/>
      <c r="CB11" s="37"/>
      <c r="CC11" s="39"/>
      <c r="CD11" s="303"/>
      <c r="CE11" s="305"/>
      <c r="CF11" s="307"/>
      <c r="CG11" s="37"/>
      <c r="CH11" s="20"/>
      <c r="CI11" s="23"/>
      <c r="CJ11" s="56"/>
    </row>
    <row r="12" spans="1:137" ht="13.5" thickBot="1" x14ac:dyDescent="0.25">
      <c r="A12" s="82">
        <v>3</v>
      </c>
      <c r="B12" s="83">
        <f>Y4</f>
        <v>0</v>
      </c>
      <c r="C12" s="82">
        <v>3</v>
      </c>
      <c r="D12" s="81">
        <f t="shared" ref="D12:D23" si="1">D11+5</f>
        <v>13</v>
      </c>
      <c r="E12" s="81">
        <f t="shared" si="0"/>
        <v>14</v>
      </c>
      <c r="F12" s="81">
        <f t="shared" ref="F12:F23" si="2">F11+5</f>
        <v>12</v>
      </c>
      <c r="G12" s="81">
        <f t="shared" ref="G12:G23" si="3">G11+5</f>
        <v>13</v>
      </c>
      <c r="H12" s="81">
        <f t="shared" ref="H12:H23" si="4">H11+5</f>
        <v>14</v>
      </c>
      <c r="I12" s="84">
        <f>Y7</f>
        <v>190000</v>
      </c>
      <c r="J12" s="84">
        <f>Z10</f>
        <v>0</v>
      </c>
      <c r="K12" s="85">
        <f>AA10</f>
        <v>0</v>
      </c>
      <c r="L12" s="84"/>
      <c r="M12" s="84">
        <f>AB10</f>
        <v>0</v>
      </c>
      <c r="N12" s="306">
        <f>N11+5</f>
        <v>15</v>
      </c>
      <c r="O12" s="37"/>
      <c r="P12" s="529" t="s">
        <v>285</v>
      </c>
      <c r="Q12" s="303"/>
      <c r="R12" s="303"/>
      <c r="S12" s="307"/>
      <c r="T12" s="37"/>
      <c r="U12" s="529" t="s">
        <v>285</v>
      </c>
      <c r="V12" s="303"/>
      <c r="W12" s="303"/>
      <c r="X12" s="307"/>
      <c r="Y12" s="37"/>
      <c r="Z12" s="529" t="s">
        <v>285</v>
      </c>
      <c r="AA12" s="303"/>
      <c r="AB12" s="303"/>
      <c r="AC12" s="307"/>
      <c r="AD12" s="37"/>
      <c r="AE12" s="39"/>
      <c r="AF12" s="303"/>
      <c r="AG12" s="303"/>
      <c r="AH12" s="307"/>
      <c r="AI12" s="37"/>
      <c r="AJ12" s="39"/>
      <c r="AK12" s="303"/>
      <c r="AL12" s="303"/>
      <c r="AM12" s="307"/>
      <c r="AN12" s="37"/>
      <c r="AO12" s="39"/>
      <c r="AP12" s="303"/>
      <c r="AQ12" s="303"/>
      <c r="AR12" s="307"/>
      <c r="AS12" s="37"/>
      <c r="AT12" s="39"/>
      <c r="AU12" s="303"/>
      <c r="AV12" s="303"/>
      <c r="AW12" s="307"/>
      <c r="AX12" s="37"/>
      <c r="AY12" s="39"/>
      <c r="AZ12" s="303"/>
      <c r="BA12" s="303"/>
      <c r="BB12" s="307"/>
      <c r="BC12" s="37"/>
      <c r="BD12" s="39"/>
      <c r="BE12" s="303"/>
      <c r="BF12" s="303"/>
      <c r="BG12" s="307"/>
      <c r="BH12" s="37"/>
      <c r="BI12" s="39"/>
      <c r="BJ12" s="303"/>
      <c r="BK12" s="303"/>
      <c r="BL12" s="307"/>
      <c r="BM12" s="37"/>
      <c r="BN12" s="39"/>
      <c r="BO12" s="303"/>
      <c r="BP12" s="303"/>
      <c r="BQ12" s="307"/>
      <c r="BR12" s="37"/>
      <c r="BS12" s="39"/>
      <c r="BT12" s="303"/>
      <c r="BU12" s="303"/>
      <c r="BV12" s="307"/>
      <c r="BW12" s="37"/>
      <c r="BX12" s="39"/>
      <c r="BY12" s="303"/>
      <c r="BZ12" s="303"/>
      <c r="CA12" s="307"/>
      <c r="CB12" s="37"/>
      <c r="CC12" s="39"/>
      <c r="CD12" s="303"/>
      <c r="CE12" s="303"/>
      <c r="CF12" s="307"/>
      <c r="CG12" s="37"/>
      <c r="CH12" s="20"/>
      <c r="CI12" s="20"/>
      <c r="CJ12" s="73"/>
    </row>
    <row r="13" spans="1:137" ht="13.5" thickBot="1" x14ac:dyDescent="0.25">
      <c r="A13" s="82">
        <v>4</v>
      </c>
      <c r="B13" s="83">
        <f>AD4</f>
        <v>0</v>
      </c>
      <c r="C13" s="82">
        <v>4</v>
      </c>
      <c r="D13" s="81">
        <f t="shared" si="1"/>
        <v>18</v>
      </c>
      <c r="E13" s="81">
        <f t="shared" si="0"/>
        <v>19</v>
      </c>
      <c r="F13" s="81">
        <f t="shared" si="2"/>
        <v>17</v>
      </c>
      <c r="G13" s="81">
        <f t="shared" si="3"/>
        <v>18</v>
      </c>
      <c r="H13" s="81">
        <f t="shared" si="4"/>
        <v>19</v>
      </c>
      <c r="I13" s="84">
        <f>AD7</f>
        <v>190000</v>
      </c>
      <c r="J13" s="84">
        <f>AE10</f>
        <v>0</v>
      </c>
      <c r="K13" s="85">
        <f>AF10</f>
        <v>0</v>
      </c>
      <c r="L13" s="84"/>
      <c r="M13" s="84">
        <f>AG10</f>
        <v>0</v>
      </c>
      <c r="N13" s="306">
        <f>N12+5</f>
        <v>20</v>
      </c>
      <c r="O13" s="308"/>
      <c r="P13" s="530">
        <v>0</v>
      </c>
      <c r="Q13" s="39"/>
      <c r="R13" s="39"/>
      <c r="S13" s="307"/>
      <c r="T13" s="308"/>
      <c r="U13" s="530">
        <v>0</v>
      </c>
      <c r="V13" s="39"/>
      <c r="W13" s="39"/>
      <c r="X13" s="307"/>
      <c r="Y13" s="308"/>
      <c r="Z13" s="530">
        <v>0</v>
      </c>
      <c r="AA13" s="39"/>
      <c r="AB13" s="39"/>
      <c r="AC13" s="307"/>
      <c r="AD13" s="308"/>
      <c r="AE13" s="39"/>
      <c r="AF13" s="39"/>
      <c r="AG13" s="39"/>
      <c r="AH13" s="307"/>
      <c r="AI13" s="308"/>
      <c r="AJ13" s="39"/>
      <c r="AK13" s="39"/>
      <c r="AL13" s="39"/>
      <c r="AM13" s="307"/>
      <c r="AN13" s="308"/>
      <c r="AO13" s="39"/>
      <c r="AP13" s="39"/>
      <c r="AQ13" s="39"/>
      <c r="AR13" s="307"/>
      <c r="AS13" s="308"/>
      <c r="AT13" s="39"/>
      <c r="AU13" s="39"/>
      <c r="AV13" s="39"/>
      <c r="AW13" s="307"/>
      <c r="AX13" s="308"/>
      <c r="AY13" s="39"/>
      <c r="AZ13" s="39"/>
      <c r="BA13" s="39"/>
      <c r="BB13" s="307"/>
      <c r="BC13" s="308"/>
      <c r="BD13" s="39"/>
      <c r="BE13" s="39"/>
      <c r="BF13" s="39"/>
      <c r="BG13" s="307"/>
      <c r="BH13" s="308"/>
      <c r="BI13" s="39"/>
      <c r="BJ13" s="39"/>
      <c r="BK13" s="39"/>
      <c r="BL13" s="307"/>
      <c r="BM13" s="308"/>
      <c r="BN13" s="39"/>
      <c r="BO13" s="39"/>
      <c r="BP13" s="39"/>
      <c r="BQ13" s="307"/>
      <c r="BR13" s="308"/>
      <c r="BS13" s="39"/>
      <c r="BT13" s="39"/>
      <c r="BU13" s="39"/>
      <c r="BV13" s="307"/>
      <c r="BW13" s="308"/>
      <c r="BX13" s="39"/>
      <c r="BY13" s="39"/>
      <c r="BZ13" s="39"/>
      <c r="CA13" s="307"/>
      <c r="CB13" s="308"/>
      <c r="CC13" s="39"/>
      <c r="CD13" s="39"/>
      <c r="CE13" s="39"/>
      <c r="CF13" s="307"/>
      <c r="CG13" s="37"/>
      <c r="CH13" s="20"/>
      <c r="CI13" s="24"/>
      <c r="CJ13" s="40"/>
    </row>
    <row r="14" spans="1:137" ht="13.5" thickBot="1" x14ac:dyDescent="0.25">
      <c r="A14" s="82">
        <v>5</v>
      </c>
      <c r="B14" s="83">
        <f>AI4</f>
        <v>0</v>
      </c>
      <c r="C14" s="82">
        <v>5</v>
      </c>
      <c r="D14" s="81">
        <f t="shared" si="1"/>
        <v>23</v>
      </c>
      <c r="E14" s="81">
        <f t="shared" si="0"/>
        <v>24</v>
      </c>
      <c r="F14" s="81">
        <f t="shared" si="2"/>
        <v>22</v>
      </c>
      <c r="G14" s="81">
        <f t="shared" si="3"/>
        <v>23</v>
      </c>
      <c r="H14" s="81">
        <f t="shared" si="4"/>
        <v>24</v>
      </c>
      <c r="I14" s="84">
        <f>AI7</f>
        <v>170000</v>
      </c>
      <c r="J14" s="84">
        <f>AJ10</f>
        <v>0</v>
      </c>
      <c r="K14" s="85">
        <f>AK10</f>
        <v>0</v>
      </c>
      <c r="L14" s="84"/>
      <c r="M14" s="84">
        <f>AL10</f>
        <v>0</v>
      </c>
      <c r="N14" s="306">
        <f t="shared" ref="N14:N23" si="5">N13+5</f>
        <v>25</v>
      </c>
      <c r="O14" s="309"/>
      <c r="P14" s="39"/>
      <c r="Q14" s="39"/>
      <c r="R14" s="39"/>
      <c r="S14" s="307"/>
      <c r="T14" s="309"/>
      <c r="U14" s="39"/>
      <c r="V14" s="39"/>
      <c r="W14" s="39"/>
      <c r="X14" s="307"/>
      <c r="Y14" s="309"/>
      <c r="Z14" s="39"/>
      <c r="AA14" s="39"/>
      <c r="AB14" s="39"/>
      <c r="AC14" s="307"/>
      <c r="AD14" s="309"/>
      <c r="AE14" s="39"/>
      <c r="AF14" s="39"/>
      <c r="AG14" s="39"/>
      <c r="AH14" s="307"/>
      <c r="AI14" s="309"/>
      <c r="AJ14" s="39"/>
      <c r="AK14" s="39"/>
      <c r="AL14" s="39"/>
      <c r="AM14" s="307"/>
      <c r="AN14" s="309"/>
      <c r="AO14" s="39"/>
      <c r="AP14" s="39"/>
      <c r="AQ14" s="39"/>
      <c r="AR14" s="307"/>
      <c r="AS14" s="309"/>
      <c r="AT14" s="39"/>
      <c r="AU14" s="39"/>
      <c r="AV14" s="39"/>
      <c r="AW14" s="307"/>
      <c r="AX14" s="309"/>
      <c r="AY14" s="39"/>
      <c r="AZ14" s="39"/>
      <c r="BA14" s="39"/>
      <c r="BB14" s="307"/>
      <c r="BC14" s="309"/>
      <c r="BD14" s="39"/>
      <c r="BE14" s="39"/>
      <c r="BF14" s="39"/>
      <c r="BG14" s="307"/>
      <c r="BH14" s="309"/>
      <c r="BI14" s="39"/>
      <c r="BJ14" s="39"/>
      <c r="BK14" s="39"/>
      <c r="BL14" s="307"/>
      <c r="BM14" s="309"/>
      <c r="BN14" s="39"/>
      <c r="BO14" s="39"/>
      <c r="BP14" s="39"/>
      <c r="BQ14" s="307"/>
      <c r="BR14" s="309"/>
      <c r="BS14" s="39"/>
      <c r="BT14" s="39"/>
      <c r="BU14" s="39"/>
      <c r="BV14" s="307"/>
      <c r="BW14" s="309"/>
      <c r="BX14" s="39"/>
      <c r="BY14" s="39"/>
      <c r="BZ14" s="39"/>
      <c r="CA14" s="307"/>
      <c r="CB14" s="309"/>
      <c r="CC14" s="39"/>
      <c r="CD14" s="39"/>
      <c r="CE14" s="39"/>
      <c r="CF14" s="307"/>
      <c r="CG14" s="37"/>
      <c r="CH14" s="39"/>
      <c r="CI14" s="39"/>
      <c r="CJ14" s="40"/>
    </row>
    <row r="15" spans="1:137" ht="18.75" customHeight="1" thickBot="1" x14ac:dyDescent="0.25">
      <c r="A15" s="82">
        <v>6</v>
      </c>
      <c r="B15" s="83">
        <f>AN4</f>
        <v>0</v>
      </c>
      <c r="C15" s="82">
        <v>6</v>
      </c>
      <c r="D15" s="81">
        <f t="shared" si="1"/>
        <v>28</v>
      </c>
      <c r="E15" s="81">
        <f t="shared" si="0"/>
        <v>29</v>
      </c>
      <c r="F15" s="81">
        <f t="shared" si="2"/>
        <v>27</v>
      </c>
      <c r="G15" s="81">
        <f t="shared" si="3"/>
        <v>28</v>
      </c>
      <c r="H15" s="81">
        <f t="shared" si="4"/>
        <v>29</v>
      </c>
      <c r="I15" s="84">
        <f>AN7</f>
        <v>170000</v>
      </c>
      <c r="J15" s="84">
        <f>AO10</f>
        <v>0</v>
      </c>
      <c r="K15" s="85">
        <f>AP10</f>
        <v>0</v>
      </c>
      <c r="L15" s="84"/>
      <c r="M15" s="84">
        <f>AQ10</f>
        <v>0</v>
      </c>
      <c r="N15" s="306">
        <f t="shared" si="5"/>
        <v>30</v>
      </c>
      <c r="O15" s="310"/>
      <c r="P15" s="605" t="s">
        <v>312</v>
      </c>
      <c r="Q15" s="606" t="s">
        <v>22</v>
      </c>
      <c r="R15" s="606" t="s">
        <v>21</v>
      </c>
      <c r="S15" s="42" t="s">
        <v>18</v>
      </c>
      <c r="T15" s="310"/>
      <c r="U15" s="19" t="s">
        <v>136</v>
      </c>
      <c r="V15" s="19" t="s">
        <v>22</v>
      </c>
      <c r="W15" s="19" t="s">
        <v>21</v>
      </c>
      <c r="X15" s="42" t="s">
        <v>18</v>
      </c>
      <c r="Y15" s="310"/>
      <c r="Z15" s="19" t="s">
        <v>136</v>
      </c>
      <c r="AA15" s="19" t="s">
        <v>22</v>
      </c>
      <c r="AB15" s="19" t="s">
        <v>21</v>
      </c>
      <c r="AC15" s="42" t="s">
        <v>18</v>
      </c>
      <c r="AD15" s="310"/>
      <c r="AE15" s="19" t="s">
        <v>136</v>
      </c>
      <c r="AF15" s="19" t="s">
        <v>22</v>
      </c>
      <c r="AG15" s="19" t="s">
        <v>21</v>
      </c>
      <c r="AH15" s="42" t="s">
        <v>18</v>
      </c>
      <c r="AI15" s="310"/>
      <c r="AJ15" s="19" t="s">
        <v>136</v>
      </c>
      <c r="AK15" s="19" t="s">
        <v>22</v>
      </c>
      <c r="AL15" s="19" t="s">
        <v>21</v>
      </c>
      <c r="AM15" s="42" t="s">
        <v>18</v>
      </c>
      <c r="AN15" s="310"/>
      <c r="AO15" s="19" t="s">
        <v>136</v>
      </c>
      <c r="AP15" s="19" t="s">
        <v>22</v>
      </c>
      <c r="AQ15" s="19" t="s">
        <v>21</v>
      </c>
      <c r="AR15" s="42" t="s">
        <v>18</v>
      </c>
      <c r="AS15" s="310"/>
      <c r="AT15" s="19" t="s">
        <v>136</v>
      </c>
      <c r="AU15" s="19" t="s">
        <v>22</v>
      </c>
      <c r="AV15" s="19" t="s">
        <v>21</v>
      </c>
      <c r="AW15" s="42" t="s">
        <v>18</v>
      </c>
      <c r="AX15" s="310"/>
      <c r="AY15" s="19" t="s">
        <v>136</v>
      </c>
      <c r="AZ15" s="19" t="s">
        <v>22</v>
      </c>
      <c r="BA15" s="19" t="s">
        <v>21</v>
      </c>
      <c r="BB15" s="42" t="s">
        <v>18</v>
      </c>
      <c r="BC15" s="310"/>
      <c r="BD15" s="19" t="s">
        <v>136</v>
      </c>
      <c r="BE15" s="19" t="s">
        <v>22</v>
      </c>
      <c r="BF15" s="19" t="s">
        <v>21</v>
      </c>
      <c r="BG15" s="42" t="s">
        <v>18</v>
      </c>
      <c r="BH15" s="310"/>
      <c r="BI15" s="19" t="s">
        <v>136</v>
      </c>
      <c r="BJ15" s="19" t="s">
        <v>22</v>
      </c>
      <c r="BK15" s="19" t="s">
        <v>21</v>
      </c>
      <c r="BL15" s="42" t="s">
        <v>18</v>
      </c>
      <c r="BM15" s="310"/>
      <c r="BN15" s="19" t="s">
        <v>136</v>
      </c>
      <c r="BO15" s="19" t="s">
        <v>22</v>
      </c>
      <c r="BP15" s="19" t="s">
        <v>21</v>
      </c>
      <c r="BQ15" s="42" t="s">
        <v>18</v>
      </c>
      <c r="BR15" s="310"/>
      <c r="BS15" s="19" t="s">
        <v>136</v>
      </c>
      <c r="BT15" s="19" t="s">
        <v>22</v>
      </c>
      <c r="BU15" s="19" t="s">
        <v>21</v>
      </c>
      <c r="BV15" s="42" t="s">
        <v>18</v>
      </c>
      <c r="BW15" s="310"/>
      <c r="BX15" s="19" t="s">
        <v>136</v>
      </c>
      <c r="BY15" s="19" t="s">
        <v>22</v>
      </c>
      <c r="BZ15" s="19" t="s">
        <v>21</v>
      </c>
      <c r="CA15" s="42" t="s">
        <v>18</v>
      </c>
      <c r="CB15" s="310"/>
      <c r="CC15" s="19" t="s">
        <v>136</v>
      </c>
      <c r="CD15" s="19" t="s">
        <v>22</v>
      </c>
      <c r="CE15" s="19" t="s">
        <v>21</v>
      </c>
      <c r="CF15" s="42" t="s">
        <v>18</v>
      </c>
      <c r="CG15" s="41"/>
      <c r="CH15" s="19"/>
      <c r="CI15" s="19"/>
      <c r="CJ15" s="19"/>
      <c r="CK15" s="42"/>
    </row>
    <row r="16" spans="1:137" ht="19.5" customHeight="1" thickBot="1" x14ac:dyDescent="0.25">
      <c r="A16" s="82">
        <v>7</v>
      </c>
      <c r="B16" s="83">
        <f>AS4</f>
        <v>0</v>
      </c>
      <c r="C16" s="82">
        <v>7</v>
      </c>
      <c r="D16" s="81">
        <f t="shared" si="1"/>
        <v>33</v>
      </c>
      <c r="E16" s="81">
        <f t="shared" si="0"/>
        <v>34</v>
      </c>
      <c r="F16" s="81">
        <f t="shared" si="2"/>
        <v>32</v>
      </c>
      <c r="G16" s="81">
        <f t="shared" si="3"/>
        <v>33</v>
      </c>
      <c r="H16" s="81">
        <f t="shared" si="4"/>
        <v>34</v>
      </c>
      <c r="I16" s="84">
        <f>AS7</f>
        <v>170000</v>
      </c>
      <c r="J16" s="84">
        <f>AT10</f>
        <v>0</v>
      </c>
      <c r="K16" s="85">
        <f>AU10</f>
        <v>0</v>
      </c>
      <c r="L16" s="84"/>
      <c r="M16" s="84">
        <f>AV10</f>
        <v>0</v>
      </c>
      <c r="N16" s="306">
        <f t="shared" si="5"/>
        <v>35</v>
      </c>
      <c r="O16" s="43">
        <v>1</v>
      </c>
      <c r="P16" s="607" t="s">
        <v>313</v>
      </c>
      <c r="Q16" s="642">
        <f>VLOOKUP(P16,Apoio!C:E,2,0)</f>
        <v>220240</v>
      </c>
      <c r="R16" s="609">
        <v>216000</v>
      </c>
      <c r="S16" s="359">
        <v>5</v>
      </c>
      <c r="T16" s="43">
        <v>1</v>
      </c>
      <c r="U16" s="385" t="s">
        <v>302</v>
      </c>
      <c r="V16" s="539">
        <v>231156</v>
      </c>
      <c r="W16" s="365"/>
      <c r="X16" s="359">
        <f>S16</f>
        <v>5</v>
      </c>
      <c r="Y16" s="43">
        <v>1</v>
      </c>
      <c r="Z16" s="385"/>
      <c r="AA16" s="539"/>
      <c r="AB16" s="540"/>
      <c r="AC16" s="541"/>
      <c r="AD16" s="43">
        <v>1</v>
      </c>
      <c r="AE16" s="385"/>
      <c r="AF16" s="357"/>
      <c r="AG16" s="365"/>
      <c r="AH16" s="360"/>
      <c r="AI16" s="43">
        <v>1</v>
      </c>
      <c r="AJ16" s="386"/>
      <c r="AK16" s="357"/>
      <c r="AL16" s="365"/>
      <c r="AM16" s="360"/>
      <c r="AN16" s="43">
        <v>1</v>
      </c>
      <c r="AO16" s="316"/>
      <c r="AP16" s="298"/>
      <c r="AQ16" s="298"/>
      <c r="AR16" s="319"/>
      <c r="AS16" s="43">
        <v>1</v>
      </c>
      <c r="AT16" s="316"/>
      <c r="AU16" s="298"/>
      <c r="AV16" s="298"/>
      <c r="AW16" s="319"/>
      <c r="AX16" s="43">
        <v>1</v>
      </c>
      <c r="AY16" s="316"/>
      <c r="AZ16" s="298"/>
      <c r="BA16" s="298"/>
      <c r="BB16" s="319"/>
      <c r="BC16" s="43">
        <v>1</v>
      </c>
      <c r="BD16" s="316"/>
      <c r="BE16" s="298"/>
      <c r="BF16" s="298"/>
      <c r="BG16" s="319"/>
      <c r="BH16" s="43">
        <v>1</v>
      </c>
      <c r="BI16" s="316"/>
      <c r="BJ16" s="298"/>
      <c r="BK16" s="298"/>
      <c r="BL16" s="319"/>
      <c r="BM16" s="43">
        <v>1</v>
      </c>
      <c r="BN16" s="316"/>
      <c r="BO16" s="298"/>
      <c r="BP16" s="298"/>
      <c r="BQ16" s="319"/>
      <c r="BR16" s="43">
        <v>1</v>
      </c>
      <c r="BS16" s="316"/>
      <c r="BT16" s="298"/>
      <c r="BU16" s="298"/>
      <c r="BV16" s="319"/>
      <c r="BW16" s="43">
        <v>1</v>
      </c>
      <c r="BX16" s="316"/>
      <c r="BY16" s="298"/>
      <c r="BZ16" s="298"/>
      <c r="CA16" s="319"/>
      <c r="CB16" s="43">
        <v>1</v>
      </c>
      <c r="CC16" s="316"/>
      <c r="CD16" s="298"/>
      <c r="CE16" s="298"/>
      <c r="CF16" s="319"/>
      <c r="CG16" s="43"/>
      <c r="CH16" s="13"/>
      <c r="CI16" s="28"/>
      <c r="CJ16" s="28"/>
      <c r="CK16" s="44"/>
    </row>
    <row r="17" spans="1:89" s="1" customFormat="1" ht="19.5" customHeight="1" thickBot="1" x14ac:dyDescent="0.25">
      <c r="A17" s="82">
        <v>8</v>
      </c>
      <c r="B17" s="86">
        <f>AX4</f>
        <v>0</v>
      </c>
      <c r="C17" s="82">
        <v>8</v>
      </c>
      <c r="D17" s="81">
        <f t="shared" si="1"/>
        <v>38</v>
      </c>
      <c r="E17" s="81">
        <f t="shared" si="0"/>
        <v>39</v>
      </c>
      <c r="F17" s="81">
        <f t="shared" si="2"/>
        <v>37</v>
      </c>
      <c r="G17" s="81">
        <f t="shared" si="3"/>
        <v>38</v>
      </c>
      <c r="H17" s="81">
        <f t="shared" si="4"/>
        <v>39</v>
      </c>
      <c r="I17" s="87">
        <f>AX7</f>
        <v>130000</v>
      </c>
      <c r="J17" s="84">
        <f>AY10</f>
        <v>0</v>
      </c>
      <c r="K17" s="85">
        <f>AZ10</f>
        <v>0</v>
      </c>
      <c r="L17" s="84"/>
      <c r="M17" s="84">
        <f>BA10</f>
        <v>0</v>
      </c>
      <c r="N17" s="306">
        <f t="shared" si="5"/>
        <v>40</v>
      </c>
      <c r="O17" s="45">
        <v>2</v>
      </c>
      <c r="P17" s="607" t="s">
        <v>314</v>
      </c>
      <c r="Q17" s="642">
        <f>VLOOKUP(P17,Apoio!C:E,2,0)</f>
        <v>215420</v>
      </c>
      <c r="R17" s="609">
        <v>216000</v>
      </c>
      <c r="S17" s="359">
        <v>5</v>
      </c>
      <c r="T17" s="45">
        <v>2</v>
      </c>
      <c r="U17" s="385" t="s">
        <v>303</v>
      </c>
      <c r="V17" s="539">
        <v>223098</v>
      </c>
      <c r="W17" s="365"/>
      <c r="X17" s="359">
        <f t="shared" ref="X17:X26" si="6">S17</f>
        <v>5</v>
      </c>
      <c r="Y17" s="45">
        <v>2</v>
      </c>
      <c r="Z17" s="385"/>
      <c r="AA17" s="539"/>
      <c r="AB17" s="540"/>
      <c r="AC17" s="541"/>
      <c r="AD17" s="45">
        <v>2</v>
      </c>
      <c r="AE17" s="385"/>
      <c r="AF17" s="358"/>
      <c r="AG17" s="365"/>
      <c r="AH17" s="360"/>
      <c r="AI17" s="45">
        <v>2</v>
      </c>
      <c r="AJ17" s="386"/>
      <c r="AK17" s="357"/>
      <c r="AL17" s="365"/>
      <c r="AM17" s="360"/>
      <c r="AN17" s="45">
        <v>2</v>
      </c>
      <c r="AO17" s="317"/>
      <c r="AP17" s="299"/>
      <c r="AQ17" s="299"/>
      <c r="AR17" s="320"/>
      <c r="AS17" s="45">
        <v>2</v>
      </c>
      <c r="AT17" s="317"/>
      <c r="AU17" s="299"/>
      <c r="AV17" s="299"/>
      <c r="AW17" s="320"/>
      <c r="AX17" s="45">
        <v>2</v>
      </c>
      <c r="AY17" s="317"/>
      <c r="AZ17" s="299"/>
      <c r="BA17" s="299"/>
      <c r="BB17" s="320"/>
      <c r="BC17" s="45">
        <v>2</v>
      </c>
      <c r="BD17" s="317"/>
      <c r="BE17" s="299"/>
      <c r="BF17" s="299"/>
      <c r="BG17" s="320"/>
      <c r="BH17" s="45">
        <v>2</v>
      </c>
      <c r="BI17" s="317"/>
      <c r="BJ17" s="299"/>
      <c r="BK17" s="299"/>
      <c r="BL17" s="320"/>
      <c r="BM17" s="45">
        <v>2</v>
      </c>
      <c r="BN17" s="317"/>
      <c r="BO17" s="299"/>
      <c r="BP17" s="299"/>
      <c r="BQ17" s="320"/>
      <c r="BR17" s="45">
        <v>2</v>
      </c>
      <c r="BS17" s="317"/>
      <c r="BT17" s="299"/>
      <c r="BU17" s="299"/>
      <c r="BV17" s="320"/>
      <c r="BW17" s="45">
        <v>2</v>
      </c>
      <c r="BX17" s="317"/>
      <c r="BY17" s="299"/>
      <c r="BZ17" s="299"/>
      <c r="CA17" s="320"/>
      <c r="CB17" s="45">
        <v>2</v>
      </c>
      <c r="CC17" s="317"/>
      <c r="CD17" s="299"/>
      <c r="CE17" s="299"/>
      <c r="CF17" s="320"/>
      <c r="CG17" s="45"/>
      <c r="CH17" s="7"/>
      <c r="CI17" s="29"/>
      <c r="CJ17" s="29"/>
      <c r="CK17" s="46"/>
    </row>
    <row r="18" spans="1:89" s="2" customFormat="1" ht="19.5" customHeight="1" thickBot="1" x14ac:dyDescent="0.25">
      <c r="A18" s="82">
        <v>9</v>
      </c>
      <c r="B18" s="86">
        <f>BC4</f>
        <v>0</v>
      </c>
      <c r="C18" s="82">
        <v>9</v>
      </c>
      <c r="D18" s="81">
        <f t="shared" si="1"/>
        <v>43</v>
      </c>
      <c r="E18" s="81">
        <f t="shared" si="0"/>
        <v>44</v>
      </c>
      <c r="F18" s="81">
        <f t="shared" si="2"/>
        <v>42</v>
      </c>
      <c r="G18" s="81">
        <f t="shared" si="3"/>
        <v>43</v>
      </c>
      <c r="H18" s="81">
        <f t="shared" si="4"/>
        <v>44</v>
      </c>
      <c r="I18" s="87">
        <f>BC7</f>
        <v>130000</v>
      </c>
      <c r="J18" s="84">
        <f>BD10</f>
        <v>0</v>
      </c>
      <c r="K18" s="85">
        <f>BE10</f>
        <v>0</v>
      </c>
      <c r="L18" s="84"/>
      <c r="M18" s="84">
        <f>BF10</f>
        <v>0</v>
      </c>
      <c r="N18" s="306">
        <f t="shared" si="5"/>
        <v>45</v>
      </c>
      <c r="O18" s="43">
        <v>3</v>
      </c>
      <c r="P18" s="607" t="s">
        <v>315</v>
      </c>
      <c r="Q18" s="642">
        <f>VLOOKUP(P18,Apoio!C:E,2,0)</f>
        <v>215470</v>
      </c>
      <c r="R18" s="609">
        <v>220000</v>
      </c>
      <c r="S18" s="359">
        <v>5</v>
      </c>
      <c r="T18" s="45">
        <v>3</v>
      </c>
      <c r="U18" s="385" t="s">
        <v>308</v>
      </c>
      <c r="V18" s="539">
        <v>231156</v>
      </c>
      <c r="W18" s="365"/>
      <c r="X18" s="359">
        <f t="shared" si="6"/>
        <v>5</v>
      </c>
      <c r="Y18" s="45">
        <v>3</v>
      </c>
      <c r="Z18" s="385"/>
      <c r="AA18" s="539"/>
      <c r="AB18" s="540"/>
      <c r="AC18" s="541"/>
      <c r="AD18" s="45">
        <v>3</v>
      </c>
      <c r="AE18" s="385"/>
      <c r="AF18" s="358"/>
      <c r="AG18" s="365"/>
      <c r="AH18" s="360"/>
      <c r="AI18" s="45">
        <v>3</v>
      </c>
      <c r="AJ18" s="386"/>
      <c r="AK18" s="357"/>
      <c r="AL18" s="365"/>
      <c r="AM18" s="360"/>
      <c r="AN18" s="45">
        <v>3</v>
      </c>
      <c r="AO18" s="317"/>
      <c r="AP18" s="300"/>
      <c r="AQ18" s="300"/>
      <c r="AR18" s="320"/>
      <c r="AS18" s="45">
        <v>3</v>
      </c>
      <c r="AT18" s="317"/>
      <c r="AU18" s="300"/>
      <c r="AV18" s="300"/>
      <c r="AW18" s="320"/>
      <c r="AX18" s="45">
        <v>3</v>
      </c>
      <c r="AY18" s="317"/>
      <c r="AZ18" s="300"/>
      <c r="BA18" s="300"/>
      <c r="BB18" s="320"/>
      <c r="BC18" s="45">
        <v>3</v>
      </c>
      <c r="BD18" s="317"/>
      <c r="BE18" s="300"/>
      <c r="BF18" s="300"/>
      <c r="BG18" s="320"/>
      <c r="BH18" s="45">
        <v>3</v>
      </c>
      <c r="BI18" s="317"/>
      <c r="BJ18" s="300"/>
      <c r="BK18" s="300"/>
      <c r="BL18" s="320"/>
      <c r="BM18" s="45">
        <v>3</v>
      </c>
      <c r="BN18" s="317"/>
      <c r="BO18" s="300"/>
      <c r="BP18" s="300"/>
      <c r="BQ18" s="320"/>
      <c r="BR18" s="45">
        <v>3</v>
      </c>
      <c r="BS18" s="317"/>
      <c r="BT18" s="300"/>
      <c r="BU18" s="300"/>
      <c r="BV18" s="320"/>
      <c r="BW18" s="45">
        <v>3</v>
      </c>
      <c r="BX18" s="317"/>
      <c r="BY18" s="300"/>
      <c r="BZ18" s="300"/>
      <c r="CA18" s="320"/>
      <c r="CB18" s="45">
        <v>3</v>
      </c>
      <c r="CC18" s="317"/>
      <c r="CD18" s="300"/>
      <c r="CE18" s="300"/>
      <c r="CF18" s="320"/>
      <c r="CG18" s="45"/>
      <c r="CH18" s="16"/>
      <c r="CI18" s="30"/>
      <c r="CJ18" s="30"/>
      <c r="CK18" s="47"/>
    </row>
    <row r="19" spans="1:89" ht="13.5" thickBot="1" x14ac:dyDescent="0.25">
      <c r="A19" s="82">
        <v>10</v>
      </c>
      <c r="B19" s="83">
        <f>BH4</f>
        <v>0</v>
      </c>
      <c r="C19" s="82">
        <v>10</v>
      </c>
      <c r="D19" s="81">
        <f t="shared" si="1"/>
        <v>48</v>
      </c>
      <c r="E19" s="81">
        <f t="shared" si="0"/>
        <v>49</v>
      </c>
      <c r="F19" s="81">
        <f t="shared" si="2"/>
        <v>47</v>
      </c>
      <c r="G19" s="81">
        <f t="shared" si="3"/>
        <v>48</v>
      </c>
      <c r="H19" s="81">
        <f t="shared" si="4"/>
        <v>49</v>
      </c>
      <c r="I19" s="84">
        <f>BH7</f>
        <v>130000</v>
      </c>
      <c r="J19" s="84">
        <f>BI10</f>
        <v>0</v>
      </c>
      <c r="K19" s="85">
        <f>BJ10</f>
        <v>0</v>
      </c>
      <c r="L19" s="84"/>
      <c r="M19" s="84">
        <f>BK10</f>
        <v>0</v>
      </c>
      <c r="N19" s="306">
        <f t="shared" si="5"/>
        <v>50</v>
      </c>
      <c r="O19" s="45">
        <v>4</v>
      </c>
      <c r="P19" s="607" t="s">
        <v>316</v>
      </c>
      <c r="Q19" s="642">
        <f>VLOOKUP(P19,Apoio!C:E,2,0)</f>
        <v>215470</v>
      </c>
      <c r="R19" s="609">
        <v>220000</v>
      </c>
      <c r="S19" s="359">
        <v>5</v>
      </c>
      <c r="T19" s="43">
        <v>4</v>
      </c>
      <c r="U19" s="385" t="s">
        <v>309</v>
      </c>
      <c r="V19" s="539">
        <v>223098</v>
      </c>
      <c r="W19" s="365"/>
      <c r="X19" s="359">
        <f t="shared" si="6"/>
        <v>5</v>
      </c>
      <c r="Y19" s="43">
        <v>4</v>
      </c>
      <c r="Z19" s="385"/>
      <c r="AA19" s="539"/>
      <c r="AB19" s="540"/>
      <c r="AC19" s="541"/>
      <c r="AD19" s="43">
        <v>4</v>
      </c>
      <c r="AE19" s="385"/>
      <c r="AF19" s="547"/>
      <c r="AG19" s="365"/>
      <c r="AH19" s="360"/>
      <c r="AI19" s="43">
        <v>4</v>
      </c>
      <c r="AJ19" s="386"/>
      <c r="AK19" s="357"/>
      <c r="AL19" s="365"/>
      <c r="AM19" s="360"/>
      <c r="AN19" s="43">
        <v>4</v>
      </c>
      <c r="AO19" s="316"/>
      <c r="AP19" s="298"/>
      <c r="AQ19" s="298"/>
      <c r="AR19" s="319"/>
      <c r="AS19" s="43">
        <v>4</v>
      </c>
      <c r="AT19" s="316"/>
      <c r="AU19" s="298"/>
      <c r="AV19" s="298"/>
      <c r="AW19" s="319"/>
      <c r="AX19" s="43">
        <v>4</v>
      </c>
      <c r="AY19" s="316"/>
      <c r="AZ19" s="298"/>
      <c r="BA19" s="298"/>
      <c r="BB19" s="319"/>
      <c r="BC19" s="43">
        <v>4</v>
      </c>
      <c r="BD19" s="316"/>
      <c r="BE19" s="298"/>
      <c r="BF19" s="298"/>
      <c r="BG19" s="319"/>
      <c r="BH19" s="43">
        <v>4</v>
      </c>
      <c r="BI19" s="316"/>
      <c r="BJ19" s="298"/>
      <c r="BK19" s="298"/>
      <c r="BL19" s="319"/>
      <c r="BM19" s="43">
        <v>4</v>
      </c>
      <c r="BN19" s="316"/>
      <c r="BO19" s="298"/>
      <c r="BP19" s="298"/>
      <c r="BQ19" s="319"/>
      <c r="BR19" s="43">
        <v>4</v>
      </c>
      <c r="BS19" s="316"/>
      <c r="BT19" s="298"/>
      <c r="BU19" s="298"/>
      <c r="BV19" s="319"/>
      <c r="BW19" s="43">
        <v>4</v>
      </c>
      <c r="BX19" s="316"/>
      <c r="BY19" s="298"/>
      <c r="BZ19" s="298"/>
      <c r="CA19" s="319"/>
      <c r="CB19" s="43">
        <v>4</v>
      </c>
      <c r="CC19" s="316"/>
      <c r="CD19" s="298"/>
      <c r="CE19" s="298"/>
      <c r="CF19" s="319"/>
      <c r="CG19" s="43"/>
      <c r="CH19" s="13"/>
      <c r="CI19" s="28"/>
      <c r="CJ19" s="28"/>
      <c r="CK19" s="44"/>
    </row>
    <row r="20" spans="1:89" ht="13.5" thickBot="1" x14ac:dyDescent="0.25">
      <c r="A20" s="82">
        <v>11</v>
      </c>
      <c r="B20" s="83">
        <f>BM4</f>
        <v>0</v>
      </c>
      <c r="C20" s="82">
        <v>11</v>
      </c>
      <c r="D20" s="81">
        <f t="shared" si="1"/>
        <v>53</v>
      </c>
      <c r="E20" s="81">
        <f t="shared" si="0"/>
        <v>54</v>
      </c>
      <c r="F20" s="81">
        <f t="shared" si="2"/>
        <v>52</v>
      </c>
      <c r="G20" s="81">
        <f t="shared" si="3"/>
        <v>53</v>
      </c>
      <c r="H20" s="81">
        <f t="shared" si="4"/>
        <v>54</v>
      </c>
      <c r="I20" s="84">
        <f>BM7</f>
        <v>130000</v>
      </c>
      <c r="J20" s="84">
        <f>BN10</f>
        <v>0</v>
      </c>
      <c r="K20" s="85">
        <f>BO10</f>
        <v>0</v>
      </c>
      <c r="L20" s="84"/>
      <c r="M20" s="84">
        <f>BP10</f>
        <v>0</v>
      </c>
      <c r="N20" s="306">
        <f t="shared" si="5"/>
        <v>55</v>
      </c>
      <c r="O20" s="43">
        <v>5</v>
      </c>
      <c r="P20" s="607" t="s">
        <v>317</v>
      </c>
      <c r="Q20" s="642">
        <f>VLOOKUP(P20,Apoio!C:E,2,0)</f>
        <v>215420</v>
      </c>
      <c r="R20" s="609">
        <v>216000</v>
      </c>
      <c r="S20" s="359">
        <v>5</v>
      </c>
      <c r="T20" s="43">
        <v>5</v>
      </c>
      <c r="U20" s="385" t="s">
        <v>310</v>
      </c>
      <c r="V20" s="539">
        <v>231156</v>
      </c>
      <c r="W20" s="365"/>
      <c r="X20" s="359">
        <f t="shared" si="6"/>
        <v>5</v>
      </c>
      <c r="Y20" s="43">
        <v>5</v>
      </c>
      <c r="Z20" s="385"/>
      <c r="AA20" s="539"/>
      <c r="AB20" s="540"/>
      <c r="AC20" s="541"/>
      <c r="AD20" s="43">
        <v>5</v>
      </c>
      <c r="AE20" s="385"/>
      <c r="AF20" s="547"/>
      <c r="AG20" s="365"/>
      <c r="AH20" s="360"/>
      <c r="AI20" s="43">
        <v>5</v>
      </c>
      <c r="AJ20" s="316"/>
      <c r="AK20" s="298"/>
      <c r="AL20" s="298"/>
      <c r="AM20" s="319"/>
      <c r="AN20" s="43">
        <v>5</v>
      </c>
      <c r="AO20" s="316"/>
      <c r="AP20" s="298"/>
      <c r="AQ20" s="298"/>
      <c r="AR20" s="319"/>
      <c r="AS20" s="43">
        <v>5</v>
      </c>
      <c r="AT20" s="316"/>
      <c r="AU20" s="298"/>
      <c r="AV20" s="298"/>
      <c r="AW20" s="319"/>
      <c r="AX20" s="43">
        <v>5</v>
      </c>
      <c r="AY20" s="316"/>
      <c r="AZ20" s="298"/>
      <c r="BA20" s="298"/>
      <c r="BB20" s="319"/>
      <c r="BC20" s="43">
        <v>5</v>
      </c>
      <c r="BD20" s="316"/>
      <c r="BE20" s="298"/>
      <c r="BF20" s="298"/>
      <c r="BG20" s="319"/>
      <c r="BH20" s="43">
        <v>5</v>
      </c>
      <c r="BI20" s="316"/>
      <c r="BJ20" s="298"/>
      <c r="BK20" s="298"/>
      <c r="BL20" s="319"/>
      <c r="BM20" s="43">
        <v>5</v>
      </c>
      <c r="BN20" s="316"/>
      <c r="BO20" s="298"/>
      <c r="BP20" s="298"/>
      <c r="BQ20" s="319"/>
      <c r="BR20" s="43">
        <v>5</v>
      </c>
      <c r="BS20" s="316"/>
      <c r="BT20" s="298"/>
      <c r="BU20" s="298"/>
      <c r="BV20" s="319"/>
      <c r="BW20" s="43">
        <v>5</v>
      </c>
      <c r="BX20" s="316"/>
      <c r="BY20" s="298"/>
      <c r="BZ20" s="298"/>
      <c r="CA20" s="319"/>
      <c r="CB20" s="43">
        <v>5</v>
      </c>
      <c r="CC20" s="316"/>
      <c r="CD20" s="298"/>
      <c r="CE20" s="298"/>
      <c r="CF20" s="319"/>
      <c r="CG20" s="43"/>
      <c r="CH20" s="13"/>
      <c r="CI20" s="28"/>
      <c r="CJ20" s="28"/>
      <c r="CK20" s="44"/>
    </row>
    <row r="21" spans="1:89" ht="13.5" thickBot="1" x14ac:dyDescent="0.25">
      <c r="A21" s="82">
        <v>12</v>
      </c>
      <c r="B21" s="83">
        <f>BR4</f>
        <v>0</v>
      </c>
      <c r="C21" s="82">
        <v>12</v>
      </c>
      <c r="D21" s="81">
        <f t="shared" si="1"/>
        <v>58</v>
      </c>
      <c r="E21" s="81">
        <f t="shared" si="0"/>
        <v>59</v>
      </c>
      <c r="F21" s="81">
        <f t="shared" si="2"/>
        <v>57</v>
      </c>
      <c r="G21" s="81">
        <f t="shared" si="3"/>
        <v>58</v>
      </c>
      <c r="H21" s="81">
        <f t="shared" si="4"/>
        <v>59</v>
      </c>
      <c r="I21" s="84">
        <f>BR7</f>
        <v>130000</v>
      </c>
      <c r="J21" s="84">
        <f>BS10</f>
        <v>0</v>
      </c>
      <c r="K21" s="85">
        <f>BT10</f>
        <v>0</v>
      </c>
      <c r="L21" s="84"/>
      <c r="M21" s="84">
        <f>BU10</f>
        <v>0</v>
      </c>
      <c r="N21" s="306">
        <f t="shared" si="5"/>
        <v>60</v>
      </c>
      <c r="O21" s="45">
        <v>6</v>
      </c>
      <c r="P21" s="607" t="s">
        <v>318</v>
      </c>
      <c r="Q21" s="642">
        <f>VLOOKUP(P21,Apoio!C:E,2,0)</f>
        <v>220240</v>
      </c>
      <c r="R21" s="609">
        <v>216000</v>
      </c>
      <c r="S21" s="359">
        <v>5</v>
      </c>
      <c r="T21" s="43">
        <v>6</v>
      </c>
      <c r="U21" s="385" t="s">
        <v>311</v>
      </c>
      <c r="V21" s="539">
        <v>223098</v>
      </c>
      <c r="W21" s="365"/>
      <c r="X21" s="359">
        <f t="shared" si="6"/>
        <v>5</v>
      </c>
      <c r="Y21" s="43">
        <v>6</v>
      </c>
      <c r="Z21" s="385"/>
      <c r="AA21" s="539"/>
      <c r="AB21" s="540"/>
      <c r="AC21" s="541"/>
      <c r="AD21" s="43">
        <v>6</v>
      </c>
      <c r="AE21" s="385"/>
      <c r="AF21" s="547"/>
      <c r="AG21" s="365"/>
      <c r="AH21" s="360"/>
      <c r="AI21" s="43">
        <v>6</v>
      </c>
      <c r="AJ21" s="316"/>
      <c r="AK21" s="298"/>
      <c r="AL21" s="298"/>
      <c r="AM21" s="319"/>
      <c r="AN21" s="43">
        <v>6</v>
      </c>
      <c r="AO21" s="316"/>
      <c r="AP21" s="298"/>
      <c r="AQ21" s="298"/>
      <c r="AR21" s="319"/>
      <c r="AS21" s="43">
        <v>6</v>
      </c>
      <c r="AT21" s="316"/>
      <c r="AU21" s="298"/>
      <c r="AV21" s="298"/>
      <c r="AW21" s="319"/>
      <c r="AX21" s="43">
        <v>6</v>
      </c>
      <c r="AY21" s="316"/>
      <c r="AZ21" s="298"/>
      <c r="BA21" s="298"/>
      <c r="BB21" s="319"/>
      <c r="BC21" s="43">
        <v>6</v>
      </c>
      <c r="BD21" s="316"/>
      <c r="BE21" s="298"/>
      <c r="BF21" s="298"/>
      <c r="BG21" s="319"/>
      <c r="BH21" s="43">
        <v>6</v>
      </c>
      <c r="BI21" s="316"/>
      <c r="BJ21" s="298"/>
      <c r="BK21" s="298"/>
      <c r="BL21" s="319"/>
      <c r="BM21" s="43">
        <v>6</v>
      </c>
      <c r="BN21" s="316"/>
      <c r="BO21" s="298"/>
      <c r="BP21" s="298"/>
      <c r="BQ21" s="319"/>
      <c r="BR21" s="43">
        <v>6</v>
      </c>
      <c r="BS21" s="316"/>
      <c r="BT21" s="298"/>
      <c r="BU21" s="298"/>
      <c r="BV21" s="319"/>
      <c r="BW21" s="43">
        <v>6</v>
      </c>
      <c r="BX21" s="316"/>
      <c r="BY21" s="298"/>
      <c r="BZ21" s="298"/>
      <c r="CA21" s="319"/>
      <c r="CB21" s="43">
        <v>6</v>
      </c>
      <c r="CC21" s="316"/>
      <c r="CD21" s="298"/>
      <c r="CE21" s="298"/>
      <c r="CF21" s="319"/>
      <c r="CG21" s="43"/>
      <c r="CH21" s="13"/>
      <c r="CI21" s="28"/>
      <c r="CJ21" s="28"/>
      <c r="CK21" s="44"/>
    </row>
    <row r="22" spans="1:89" ht="13.5" thickBot="1" x14ac:dyDescent="0.25">
      <c r="A22" s="82">
        <v>13</v>
      </c>
      <c r="B22" s="83">
        <f>BW4</f>
        <v>0</v>
      </c>
      <c r="C22" s="82">
        <v>13</v>
      </c>
      <c r="D22" s="81">
        <f t="shared" si="1"/>
        <v>63</v>
      </c>
      <c r="E22" s="81">
        <f t="shared" si="0"/>
        <v>64</v>
      </c>
      <c r="F22" s="81">
        <f t="shared" si="2"/>
        <v>62</v>
      </c>
      <c r="G22" s="81">
        <f t="shared" si="3"/>
        <v>63</v>
      </c>
      <c r="H22" s="81">
        <f t="shared" si="4"/>
        <v>64</v>
      </c>
      <c r="I22" s="84">
        <f>BW7</f>
        <v>130000</v>
      </c>
      <c r="J22" s="84">
        <f>BX10</f>
        <v>0</v>
      </c>
      <c r="K22" s="85">
        <f>BY10</f>
        <v>0</v>
      </c>
      <c r="L22" s="84"/>
      <c r="M22" s="84">
        <f>BZ10</f>
        <v>0</v>
      </c>
      <c r="N22" s="306">
        <f t="shared" si="5"/>
        <v>65</v>
      </c>
      <c r="O22" s="43">
        <v>7</v>
      </c>
      <c r="P22" s="607" t="s">
        <v>460</v>
      </c>
      <c r="Q22" s="642">
        <f>VLOOKUP(P22,Apoio!C:E,2,0)</f>
        <v>220160</v>
      </c>
      <c r="R22" s="609">
        <v>220000</v>
      </c>
      <c r="S22" s="359">
        <v>5</v>
      </c>
      <c r="T22" s="43">
        <v>7</v>
      </c>
      <c r="U22" s="385" t="s">
        <v>304</v>
      </c>
      <c r="V22" s="539">
        <v>215041</v>
      </c>
      <c r="W22" s="365"/>
      <c r="X22" s="359">
        <f t="shared" si="6"/>
        <v>5</v>
      </c>
      <c r="Y22" s="43">
        <v>7</v>
      </c>
      <c r="Z22" s="385"/>
      <c r="AA22" s="539"/>
      <c r="AB22" s="540"/>
      <c r="AC22" s="541"/>
      <c r="AD22" s="43">
        <v>7</v>
      </c>
      <c r="AE22" s="385"/>
      <c r="AF22" s="547"/>
      <c r="AG22" s="365"/>
      <c r="AH22" s="360"/>
      <c r="AI22" s="43">
        <v>7</v>
      </c>
      <c r="AJ22" s="316"/>
      <c r="AK22" s="298"/>
      <c r="AL22" s="298"/>
      <c r="AM22" s="319"/>
      <c r="AN22" s="43">
        <v>7</v>
      </c>
      <c r="AO22" s="316"/>
      <c r="AP22" s="298"/>
      <c r="AQ22" s="298"/>
      <c r="AR22" s="319"/>
      <c r="AS22" s="43">
        <v>7</v>
      </c>
      <c r="AT22" s="316"/>
      <c r="AU22" s="298"/>
      <c r="AV22" s="298"/>
      <c r="AW22" s="319"/>
      <c r="AX22" s="43">
        <v>7</v>
      </c>
      <c r="AY22" s="316"/>
      <c r="AZ22" s="298"/>
      <c r="BA22" s="298"/>
      <c r="BB22" s="319"/>
      <c r="BC22" s="43">
        <v>7</v>
      </c>
      <c r="BD22" s="316"/>
      <c r="BE22" s="298"/>
      <c r="BF22" s="298"/>
      <c r="BG22" s="319"/>
      <c r="BH22" s="43">
        <v>7</v>
      </c>
      <c r="BI22" s="316"/>
      <c r="BJ22" s="298"/>
      <c r="BK22" s="298"/>
      <c r="BL22" s="319"/>
      <c r="BM22" s="43">
        <v>7</v>
      </c>
      <c r="BN22" s="316"/>
      <c r="BO22" s="298"/>
      <c r="BP22" s="298"/>
      <c r="BQ22" s="319"/>
      <c r="BR22" s="43">
        <v>7</v>
      </c>
      <c r="BS22" s="316"/>
      <c r="BT22" s="298"/>
      <c r="BU22" s="298"/>
      <c r="BV22" s="319"/>
      <c r="BW22" s="43">
        <v>7</v>
      </c>
      <c r="BX22" s="316"/>
      <c r="BY22" s="298"/>
      <c r="BZ22" s="298"/>
      <c r="CA22" s="319"/>
      <c r="CB22" s="43">
        <v>7</v>
      </c>
      <c r="CC22" s="316"/>
      <c r="CD22" s="298"/>
      <c r="CE22" s="298"/>
      <c r="CF22" s="319"/>
      <c r="CG22" s="43"/>
      <c r="CH22" s="13"/>
      <c r="CI22" s="28"/>
      <c r="CJ22" s="28"/>
      <c r="CK22" s="44"/>
    </row>
    <row r="23" spans="1:89" ht="13.5" thickBot="1" x14ac:dyDescent="0.25">
      <c r="A23" s="82">
        <v>14</v>
      </c>
      <c r="B23" s="83">
        <f>CB4</f>
        <v>0</v>
      </c>
      <c r="C23" s="82">
        <v>14</v>
      </c>
      <c r="D23" s="81">
        <f t="shared" si="1"/>
        <v>68</v>
      </c>
      <c r="E23" s="81">
        <f t="shared" si="0"/>
        <v>69</v>
      </c>
      <c r="F23" s="81">
        <f t="shared" si="2"/>
        <v>67</v>
      </c>
      <c r="G23" s="81">
        <f t="shared" si="3"/>
        <v>68</v>
      </c>
      <c r="H23" s="81">
        <f t="shared" si="4"/>
        <v>69</v>
      </c>
      <c r="I23" s="84">
        <f>CB7</f>
        <v>130000</v>
      </c>
      <c r="J23" s="84">
        <f>CC10</f>
        <v>0</v>
      </c>
      <c r="K23" s="85">
        <f>CD10</f>
        <v>0</v>
      </c>
      <c r="L23" s="84"/>
      <c r="M23" s="84">
        <f>CE10</f>
        <v>0</v>
      </c>
      <c r="N23" s="306">
        <f t="shared" si="5"/>
        <v>70</v>
      </c>
      <c r="O23" s="45">
        <v>8</v>
      </c>
      <c r="P23" s="607" t="s">
        <v>319</v>
      </c>
      <c r="Q23" s="642">
        <f>VLOOKUP(P23,Apoio!C:E,2,0)</f>
        <v>227930</v>
      </c>
      <c r="R23" s="609">
        <v>220000</v>
      </c>
      <c r="S23" s="359">
        <v>5</v>
      </c>
      <c r="T23" s="45">
        <v>8</v>
      </c>
      <c r="U23" s="385"/>
      <c r="V23" s="539"/>
      <c r="W23" s="537"/>
      <c r="X23" s="359">
        <f t="shared" si="6"/>
        <v>5</v>
      </c>
      <c r="Y23" s="45">
        <v>8</v>
      </c>
      <c r="Z23" s="385"/>
      <c r="AA23" s="539"/>
      <c r="AB23" s="540"/>
      <c r="AC23" s="541"/>
      <c r="AD23" s="45">
        <v>8</v>
      </c>
      <c r="AE23" s="385"/>
      <c r="AF23" s="547"/>
      <c r="AG23" s="365"/>
      <c r="AH23" s="360"/>
      <c r="AI23" s="45">
        <v>8</v>
      </c>
      <c r="AJ23" s="316"/>
      <c r="AK23" s="298"/>
      <c r="AL23" s="298"/>
      <c r="AM23" s="319"/>
      <c r="AN23" s="45">
        <v>8</v>
      </c>
      <c r="AO23" s="316"/>
      <c r="AP23" s="298"/>
      <c r="AQ23" s="298"/>
      <c r="AR23" s="319"/>
      <c r="AS23" s="45">
        <v>8</v>
      </c>
      <c r="AT23" s="316"/>
      <c r="AU23" s="298"/>
      <c r="AV23" s="298"/>
      <c r="AW23" s="319"/>
      <c r="AX23" s="45">
        <v>8</v>
      </c>
      <c r="AY23" s="316"/>
      <c r="AZ23" s="298"/>
      <c r="BA23" s="298"/>
      <c r="BB23" s="319"/>
      <c r="BC23" s="45">
        <v>8</v>
      </c>
      <c r="BD23" s="316"/>
      <c r="BE23" s="298"/>
      <c r="BF23" s="298"/>
      <c r="BG23" s="319"/>
      <c r="BH23" s="45">
        <v>8</v>
      </c>
      <c r="BI23" s="316"/>
      <c r="BJ23" s="298"/>
      <c r="BK23" s="298"/>
      <c r="BL23" s="319"/>
      <c r="BM23" s="45">
        <v>8</v>
      </c>
      <c r="BN23" s="316"/>
      <c r="BO23" s="298"/>
      <c r="BP23" s="298"/>
      <c r="BQ23" s="319"/>
      <c r="BR23" s="45">
        <v>8</v>
      </c>
      <c r="BS23" s="316"/>
      <c r="BT23" s="298"/>
      <c r="BU23" s="298"/>
      <c r="BV23" s="319"/>
      <c r="BW23" s="45">
        <v>8</v>
      </c>
      <c r="BX23" s="316"/>
      <c r="BY23" s="298"/>
      <c r="BZ23" s="298"/>
      <c r="CA23" s="319"/>
      <c r="CB23" s="45">
        <v>8</v>
      </c>
      <c r="CC23" s="316"/>
      <c r="CD23" s="298"/>
      <c r="CE23" s="298"/>
      <c r="CF23" s="319"/>
      <c r="CG23" s="45"/>
      <c r="CH23" s="13"/>
      <c r="CI23" s="28"/>
      <c r="CJ23" s="28"/>
      <c r="CK23" s="44"/>
    </row>
    <row r="24" spans="1:89" ht="13.5" thickBot="1" x14ac:dyDescent="0.25">
      <c r="O24" s="43">
        <v>9</v>
      </c>
      <c r="P24" s="607" t="s">
        <v>320</v>
      </c>
      <c r="Q24" s="642">
        <f>VLOOKUP(P24,Apoio!C:E,2,0)</f>
        <v>222960</v>
      </c>
      <c r="R24" s="609">
        <v>220000</v>
      </c>
      <c r="S24" s="359">
        <v>5</v>
      </c>
      <c r="T24" s="45">
        <v>9</v>
      </c>
      <c r="U24" s="385"/>
      <c r="V24" s="539"/>
      <c r="W24" s="537"/>
      <c r="X24" s="359">
        <f t="shared" si="6"/>
        <v>5</v>
      </c>
      <c r="Y24" s="45">
        <v>9</v>
      </c>
      <c r="Z24" s="385"/>
      <c r="AA24" s="539"/>
      <c r="AB24" s="540"/>
      <c r="AC24" s="541"/>
      <c r="AD24" s="45">
        <v>9</v>
      </c>
      <c r="AE24" s="385"/>
      <c r="AF24" s="547"/>
      <c r="AG24" s="365"/>
      <c r="AH24" s="360"/>
      <c r="AI24" s="45">
        <v>9</v>
      </c>
      <c r="AJ24" s="316"/>
      <c r="AK24" s="298"/>
      <c r="AL24" s="298"/>
      <c r="AM24" s="319"/>
      <c r="AN24" s="45">
        <v>9</v>
      </c>
      <c r="AO24" s="316"/>
      <c r="AP24" s="298"/>
      <c r="AQ24" s="298"/>
      <c r="AR24" s="319"/>
      <c r="AS24" s="45">
        <v>9</v>
      </c>
      <c r="AT24" s="316"/>
      <c r="AU24" s="298"/>
      <c r="AV24" s="298"/>
      <c r="AW24" s="319"/>
      <c r="AX24" s="45">
        <v>9</v>
      </c>
      <c r="AY24" s="316"/>
      <c r="AZ24" s="298"/>
      <c r="BA24" s="298"/>
      <c r="BB24" s="319"/>
      <c r="BC24" s="45">
        <v>9</v>
      </c>
      <c r="BD24" s="316"/>
      <c r="BE24" s="298"/>
      <c r="BF24" s="298"/>
      <c r="BG24" s="319"/>
      <c r="BH24" s="45">
        <v>9</v>
      </c>
      <c r="BI24" s="316"/>
      <c r="BJ24" s="298"/>
      <c r="BK24" s="298"/>
      <c r="BL24" s="319"/>
      <c r="BM24" s="45">
        <v>9</v>
      </c>
      <c r="BN24" s="316"/>
      <c r="BO24" s="298"/>
      <c r="BP24" s="298"/>
      <c r="BQ24" s="319"/>
      <c r="BR24" s="45">
        <v>9</v>
      </c>
      <c r="BS24" s="316"/>
      <c r="BT24" s="298"/>
      <c r="BU24" s="298"/>
      <c r="BV24" s="319"/>
      <c r="BW24" s="45">
        <v>9</v>
      </c>
      <c r="BX24" s="316"/>
      <c r="BY24" s="298"/>
      <c r="BZ24" s="298"/>
      <c r="CA24" s="319"/>
      <c r="CB24" s="45">
        <v>9</v>
      </c>
      <c r="CC24" s="316"/>
      <c r="CD24" s="298"/>
      <c r="CE24" s="298"/>
      <c r="CF24" s="319"/>
      <c r="CG24" s="45"/>
      <c r="CH24" s="13"/>
      <c r="CI24" s="28"/>
      <c r="CJ24" s="28"/>
      <c r="CK24" s="44"/>
    </row>
    <row r="25" spans="1:89" ht="13.5" thickBot="1" x14ac:dyDescent="0.25">
      <c r="O25" s="45">
        <v>10</v>
      </c>
      <c r="P25" s="607" t="s">
        <v>321</v>
      </c>
      <c r="Q25" s="642">
        <f>VLOOKUP(P25,Apoio!C:E,2,0)</f>
        <v>223010</v>
      </c>
      <c r="R25" s="609">
        <v>220000</v>
      </c>
      <c r="S25" s="359">
        <v>5</v>
      </c>
      <c r="T25" s="43">
        <v>10</v>
      </c>
      <c r="U25" s="385"/>
      <c r="V25" s="539"/>
      <c r="W25" s="537"/>
      <c r="X25" s="359">
        <f t="shared" si="6"/>
        <v>5</v>
      </c>
      <c r="Y25" s="43">
        <v>10</v>
      </c>
      <c r="Z25" s="385"/>
      <c r="AA25" s="539"/>
      <c r="AB25" s="540"/>
      <c r="AC25" s="541"/>
      <c r="AD25" s="43">
        <v>10</v>
      </c>
      <c r="AE25" s="385"/>
      <c r="AF25" s="547"/>
      <c r="AG25" s="365"/>
      <c r="AH25" s="360"/>
      <c r="AI25" s="43">
        <v>10</v>
      </c>
      <c r="AJ25" s="316"/>
      <c r="AK25" s="298"/>
      <c r="AL25" s="298"/>
      <c r="AM25" s="319"/>
      <c r="AN25" s="43">
        <v>10</v>
      </c>
      <c r="AO25" s="316"/>
      <c r="AP25" s="298"/>
      <c r="AQ25" s="298"/>
      <c r="AR25" s="319"/>
      <c r="AS25" s="43">
        <v>10</v>
      </c>
      <c r="AT25" s="316"/>
      <c r="AU25" s="298"/>
      <c r="AV25" s="298"/>
      <c r="AW25" s="319"/>
      <c r="AX25" s="43">
        <v>10</v>
      </c>
      <c r="AY25" s="316"/>
      <c r="AZ25" s="298"/>
      <c r="BA25" s="298"/>
      <c r="BB25" s="319"/>
      <c r="BC25" s="43">
        <v>10</v>
      </c>
      <c r="BD25" s="316"/>
      <c r="BE25" s="298"/>
      <c r="BF25" s="298"/>
      <c r="BG25" s="319"/>
      <c r="BH25" s="43">
        <v>10</v>
      </c>
      <c r="BI25" s="316"/>
      <c r="BJ25" s="298"/>
      <c r="BK25" s="298"/>
      <c r="BL25" s="319"/>
      <c r="BM25" s="43">
        <v>10</v>
      </c>
      <c r="BN25" s="316"/>
      <c r="BO25" s="298"/>
      <c r="BP25" s="298"/>
      <c r="BQ25" s="319"/>
      <c r="BR25" s="43">
        <v>10</v>
      </c>
      <c r="BS25" s="316"/>
      <c r="BT25" s="298"/>
      <c r="BU25" s="298"/>
      <c r="BV25" s="319"/>
      <c r="BW25" s="43">
        <v>10</v>
      </c>
      <c r="BX25" s="316"/>
      <c r="BY25" s="298"/>
      <c r="BZ25" s="298"/>
      <c r="CA25" s="319"/>
      <c r="CB25" s="43">
        <v>10</v>
      </c>
      <c r="CC25" s="316"/>
      <c r="CD25" s="298"/>
      <c r="CE25" s="298"/>
      <c r="CF25" s="319"/>
      <c r="CG25" s="43"/>
      <c r="CH25" s="13"/>
      <c r="CI25" s="28"/>
      <c r="CJ25" s="28"/>
      <c r="CK25" s="44"/>
    </row>
    <row r="26" spans="1:89" ht="13.5" thickBot="1" x14ac:dyDescent="0.25">
      <c r="O26" s="43">
        <v>11</v>
      </c>
      <c r="P26" s="607" t="s">
        <v>322</v>
      </c>
      <c r="Q26" s="642">
        <f>VLOOKUP(P26,Apoio!C:E,2,0)</f>
        <v>223010</v>
      </c>
      <c r="R26" s="609">
        <v>220000</v>
      </c>
      <c r="S26" s="359">
        <v>5</v>
      </c>
      <c r="T26" s="43">
        <v>11</v>
      </c>
      <c r="U26" s="385"/>
      <c r="V26" s="539"/>
      <c r="W26" s="537"/>
      <c r="X26" s="359">
        <f t="shared" si="6"/>
        <v>5</v>
      </c>
      <c r="Y26" s="43">
        <v>11</v>
      </c>
      <c r="Z26" s="385"/>
      <c r="AA26" s="539"/>
      <c r="AB26" s="540"/>
      <c r="AC26" s="541"/>
      <c r="AD26" s="43">
        <v>11</v>
      </c>
      <c r="AE26" s="385"/>
      <c r="AF26" s="547"/>
      <c r="AG26" s="365"/>
      <c r="AH26" s="360"/>
      <c r="AI26" s="43">
        <v>11</v>
      </c>
      <c r="AJ26" s="316"/>
      <c r="AK26" s="298"/>
      <c r="AL26" s="298"/>
      <c r="AM26" s="319"/>
      <c r="AN26" s="43">
        <v>11</v>
      </c>
      <c r="AO26" s="316"/>
      <c r="AP26" s="298"/>
      <c r="AQ26" s="298"/>
      <c r="AR26" s="319"/>
      <c r="AS26" s="43">
        <v>11</v>
      </c>
      <c r="AT26" s="316"/>
      <c r="AU26" s="298"/>
      <c r="AV26" s="298"/>
      <c r="AW26" s="319"/>
      <c r="AX26" s="43">
        <v>11</v>
      </c>
      <c r="AY26" s="316"/>
      <c r="AZ26" s="298"/>
      <c r="BA26" s="298"/>
      <c r="BB26" s="319"/>
      <c r="BC26" s="43">
        <v>11</v>
      </c>
      <c r="BD26" s="316"/>
      <c r="BE26" s="298"/>
      <c r="BF26" s="298"/>
      <c r="BG26" s="319"/>
      <c r="BH26" s="43">
        <v>11</v>
      </c>
      <c r="BI26" s="316"/>
      <c r="BJ26" s="298"/>
      <c r="BK26" s="298"/>
      <c r="BL26" s="319"/>
      <c r="BM26" s="43">
        <v>11</v>
      </c>
      <c r="BN26" s="316"/>
      <c r="BO26" s="298"/>
      <c r="BP26" s="298"/>
      <c r="BQ26" s="319"/>
      <c r="BR26" s="43">
        <v>11</v>
      </c>
      <c r="BS26" s="316"/>
      <c r="BT26" s="298"/>
      <c r="BU26" s="298"/>
      <c r="BV26" s="319"/>
      <c r="BW26" s="43">
        <v>11</v>
      </c>
      <c r="BX26" s="316"/>
      <c r="BY26" s="298"/>
      <c r="BZ26" s="298"/>
      <c r="CA26" s="319"/>
      <c r="CB26" s="43">
        <v>11</v>
      </c>
      <c r="CC26" s="316"/>
      <c r="CD26" s="298"/>
      <c r="CE26" s="298"/>
      <c r="CF26" s="319"/>
      <c r="CG26" s="43"/>
      <c r="CH26" s="13"/>
      <c r="CI26" s="28"/>
      <c r="CJ26" s="28"/>
      <c r="CK26" s="44"/>
    </row>
    <row r="27" spans="1:89" ht="13.5" thickBot="1" x14ac:dyDescent="0.25">
      <c r="B27" s="4"/>
      <c r="O27" s="45">
        <v>12</v>
      </c>
      <c r="P27" s="607" t="s">
        <v>323</v>
      </c>
      <c r="Q27" s="642">
        <f>VLOOKUP(P27,Apoio!C:E,2,0)</f>
        <v>222960</v>
      </c>
      <c r="R27" s="609">
        <v>220000</v>
      </c>
      <c r="S27" s="359">
        <v>5</v>
      </c>
      <c r="T27" s="43">
        <v>12</v>
      </c>
      <c r="U27" s="316"/>
      <c r="V27" s="298"/>
      <c r="W27" s="298"/>
      <c r="X27" s="319"/>
      <c r="Y27" s="43">
        <v>12</v>
      </c>
      <c r="Z27" s="385"/>
      <c r="AA27" s="298"/>
      <c r="AB27" s="540"/>
      <c r="AC27" s="319"/>
      <c r="AD27" s="43">
        <v>12</v>
      </c>
      <c r="AE27" s="316"/>
      <c r="AF27" s="298"/>
      <c r="AG27" s="298"/>
      <c r="AH27" s="319"/>
      <c r="AI27" s="43">
        <v>12</v>
      </c>
      <c r="AJ27" s="316"/>
      <c r="AK27" s="298"/>
      <c r="AL27" s="298"/>
      <c r="AM27" s="319"/>
      <c r="AN27" s="43">
        <v>12</v>
      </c>
      <c r="AO27" s="316"/>
      <c r="AP27" s="298"/>
      <c r="AQ27" s="298"/>
      <c r="AR27" s="319"/>
      <c r="AS27" s="43">
        <v>12</v>
      </c>
      <c r="AT27" s="316"/>
      <c r="AU27" s="298"/>
      <c r="AV27" s="298"/>
      <c r="AW27" s="319"/>
      <c r="AX27" s="43">
        <v>12</v>
      </c>
      <c r="AY27" s="316"/>
      <c r="AZ27" s="298"/>
      <c r="BA27" s="298"/>
      <c r="BB27" s="319"/>
      <c r="BC27" s="43">
        <v>12</v>
      </c>
      <c r="BD27" s="316"/>
      <c r="BE27" s="298"/>
      <c r="BF27" s="298"/>
      <c r="BG27" s="319"/>
      <c r="BH27" s="43">
        <v>12</v>
      </c>
      <c r="BI27" s="316"/>
      <c r="BJ27" s="298"/>
      <c r="BK27" s="298"/>
      <c r="BL27" s="319"/>
      <c r="BM27" s="43">
        <v>12</v>
      </c>
      <c r="BN27" s="316"/>
      <c r="BO27" s="298"/>
      <c r="BP27" s="298"/>
      <c r="BQ27" s="319"/>
      <c r="BR27" s="43">
        <v>12</v>
      </c>
      <c r="BS27" s="316"/>
      <c r="BT27" s="298"/>
      <c r="BU27" s="298"/>
      <c r="BV27" s="319"/>
      <c r="BW27" s="43">
        <v>12</v>
      </c>
      <c r="BX27" s="316"/>
      <c r="BY27" s="298"/>
      <c r="BZ27" s="298"/>
      <c r="CA27" s="319"/>
      <c r="CB27" s="43">
        <v>12</v>
      </c>
      <c r="CC27" s="316"/>
      <c r="CD27" s="298"/>
      <c r="CE27" s="298"/>
      <c r="CF27" s="319"/>
      <c r="CG27" s="43"/>
      <c r="CH27" s="13"/>
      <c r="CI27" s="28"/>
      <c r="CJ27" s="28"/>
      <c r="CK27" s="44"/>
    </row>
    <row r="28" spans="1:89" ht="13.5" thickBot="1" x14ac:dyDescent="0.25">
      <c r="B28" s="4"/>
      <c r="O28" s="43">
        <v>13</v>
      </c>
      <c r="P28" s="607" t="s">
        <v>324</v>
      </c>
      <c r="Q28" s="642">
        <f>VLOOKUP(P28,Apoio!C:E,2,0)</f>
        <v>227930</v>
      </c>
      <c r="R28" s="609">
        <v>220000</v>
      </c>
      <c r="S28" s="359">
        <v>5</v>
      </c>
      <c r="T28" s="43">
        <v>13</v>
      </c>
      <c r="U28" s="316"/>
      <c r="V28" s="298"/>
      <c r="W28" s="298"/>
      <c r="X28" s="319"/>
      <c r="Y28" s="43">
        <v>13</v>
      </c>
      <c r="Z28" s="385"/>
      <c r="AA28" s="298"/>
      <c r="AB28" s="540"/>
      <c r="AC28" s="319"/>
      <c r="AD28" s="43">
        <v>13</v>
      </c>
      <c r="AE28" s="316"/>
      <c r="AF28" s="298"/>
      <c r="AG28" s="298"/>
      <c r="AH28" s="319"/>
      <c r="AI28" s="43">
        <v>13</v>
      </c>
      <c r="AJ28" s="316"/>
      <c r="AK28" s="298"/>
      <c r="AL28" s="298"/>
      <c r="AM28" s="319"/>
      <c r="AN28" s="43">
        <v>13</v>
      </c>
      <c r="AO28" s="316"/>
      <c r="AP28" s="298"/>
      <c r="AQ28" s="298"/>
      <c r="AR28" s="319"/>
      <c r="AS28" s="43">
        <v>13</v>
      </c>
      <c r="AT28" s="316"/>
      <c r="AU28" s="298"/>
      <c r="AV28" s="298"/>
      <c r="AW28" s="319"/>
      <c r="AX28" s="43">
        <v>13</v>
      </c>
      <c r="AY28" s="316"/>
      <c r="AZ28" s="298"/>
      <c r="BA28" s="298"/>
      <c r="BB28" s="319"/>
      <c r="BC28" s="43">
        <v>13</v>
      </c>
      <c r="BD28" s="316"/>
      <c r="BE28" s="298"/>
      <c r="BF28" s="298"/>
      <c r="BG28" s="319"/>
      <c r="BH28" s="43">
        <v>13</v>
      </c>
      <c r="BI28" s="316"/>
      <c r="BJ28" s="298"/>
      <c r="BK28" s="298"/>
      <c r="BL28" s="319"/>
      <c r="BM28" s="43">
        <v>13</v>
      </c>
      <c r="BN28" s="316"/>
      <c r="BO28" s="298"/>
      <c r="BP28" s="298"/>
      <c r="BQ28" s="319"/>
      <c r="BR28" s="43">
        <v>13</v>
      </c>
      <c r="BS28" s="316"/>
      <c r="BT28" s="298"/>
      <c r="BU28" s="298"/>
      <c r="BV28" s="319"/>
      <c r="BW28" s="43">
        <v>13</v>
      </c>
      <c r="BX28" s="316"/>
      <c r="BY28" s="298"/>
      <c r="BZ28" s="298"/>
      <c r="CA28" s="319"/>
      <c r="CB28" s="43">
        <v>13</v>
      </c>
      <c r="CC28" s="316"/>
      <c r="CD28" s="298"/>
      <c r="CE28" s="298"/>
      <c r="CF28" s="319"/>
      <c r="CG28" s="43"/>
      <c r="CH28" s="13"/>
      <c r="CI28" s="28"/>
      <c r="CJ28" s="28"/>
      <c r="CK28" s="44"/>
    </row>
    <row r="29" spans="1:89" ht="13.5" thickBot="1" x14ac:dyDescent="0.25">
      <c r="B29" s="4"/>
      <c r="O29" s="45">
        <v>14</v>
      </c>
      <c r="P29" s="607" t="s">
        <v>325</v>
      </c>
      <c r="Q29" s="642">
        <f>VLOOKUP(P29,Apoio!C:E,2,0)</f>
        <v>227850</v>
      </c>
      <c r="R29" s="609">
        <v>220000</v>
      </c>
      <c r="S29" s="359">
        <v>5</v>
      </c>
      <c r="T29" s="45">
        <v>14</v>
      </c>
      <c r="U29" s="316"/>
      <c r="V29" s="298"/>
      <c r="W29" s="298"/>
      <c r="X29" s="319"/>
      <c r="Y29" s="45">
        <v>14</v>
      </c>
      <c r="Z29" s="385"/>
      <c r="AA29" s="298"/>
      <c r="AB29" s="540"/>
      <c r="AC29" s="319"/>
      <c r="AD29" s="45">
        <v>14</v>
      </c>
      <c r="AE29" s="316"/>
      <c r="AF29" s="298"/>
      <c r="AG29" s="298"/>
      <c r="AH29" s="319"/>
      <c r="AI29" s="45">
        <v>14</v>
      </c>
      <c r="AJ29" s="316"/>
      <c r="AK29" s="298"/>
      <c r="AL29" s="298"/>
      <c r="AM29" s="319"/>
      <c r="AN29" s="45">
        <v>14</v>
      </c>
      <c r="AO29" s="316"/>
      <c r="AP29" s="298"/>
      <c r="AQ29" s="298"/>
      <c r="AR29" s="319"/>
      <c r="AS29" s="45">
        <v>14</v>
      </c>
      <c r="AT29" s="316"/>
      <c r="AU29" s="298"/>
      <c r="AV29" s="298"/>
      <c r="AW29" s="319"/>
      <c r="AX29" s="45">
        <v>14</v>
      </c>
      <c r="AY29" s="316"/>
      <c r="AZ29" s="298"/>
      <c r="BA29" s="298"/>
      <c r="BB29" s="319"/>
      <c r="BC29" s="45">
        <v>14</v>
      </c>
      <c r="BD29" s="316"/>
      <c r="BE29" s="298"/>
      <c r="BF29" s="298"/>
      <c r="BG29" s="319"/>
      <c r="BH29" s="45">
        <v>14</v>
      </c>
      <c r="BI29" s="316"/>
      <c r="BJ29" s="298"/>
      <c r="BK29" s="298"/>
      <c r="BL29" s="319"/>
      <c r="BM29" s="45">
        <v>14</v>
      </c>
      <c r="BN29" s="316"/>
      <c r="BO29" s="298"/>
      <c r="BP29" s="298"/>
      <c r="BQ29" s="319"/>
      <c r="BR29" s="45">
        <v>14</v>
      </c>
      <c r="BS29" s="316"/>
      <c r="BT29" s="298"/>
      <c r="BU29" s="298"/>
      <c r="BV29" s="319"/>
      <c r="BW29" s="45">
        <v>14</v>
      </c>
      <c r="BX29" s="316"/>
      <c r="BY29" s="298"/>
      <c r="BZ29" s="298"/>
      <c r="CA29" s="319"/>
      <c r="CB29" s="45">
        <v>14</v>
      </c>
      <c r="CC29" s="316"/>
      <c r="CD29" s="298"/>
      <c r="CE29" s="298"/>
      <c r="CF29" s="319"/>
      <c r="CG29" s="45"/>
      <c r="CH29" s="13"/>
      <c r="CI29" s="28"/>
      <c r="CJ29" s="28"/>
      <c r="CK29" s="44"/>
    </row>
    <row r="30" spans="1:89" ht="13.5" thickBot="1" x14ac:dyDescent="0.25">
      <c r="O30" s="43">
        <v>15</v>
      </c>
      <c r="P30" s="607" t="s">
        <v>326</v>
      </c>
      <c r="Q30" s="642">
        <f>VLOOKUP(P30,Apoio!C:E,2,0)</f>
        <v>227850</v>
      </c>
      <c r="R30" s="609">
        <v>220000</v>
      </c>
      <c r="S30" s="359">
        <v>5</v>
      </c>
      <c r="T30" s="45">
        <v>15</v>
      </c>
      <c r="U30" s="316"/>
      <c r="V30" s="298"/>
      <c r="W30" s="298"/>
      <c r="X30" s="319"/>
      <c r="Y30" s="45">
        <v>15</v>
      </c>
      <c r="Z30" s="316"/>
      <c r="AA30" s="298"/>
      <c r="AB30" s="540"/>
      <c r="AC30" s="319"/>
      <c r="AD30" s="45">
        <v>15</v>
      </c>
      <c r="AE30" s="316"/>
      <c r="AF30" s="298"/>
      <c r="AG30" s="298"/>
      <c r="AH30" s="319"/>
      <c r="AI30" s="45">
        <v>15</v>
      </c>
      <c r="AJ30" s="316"/>
      <c r="AK30" s="298"/>
      <c r="AL30" s="298"/>
      <c r="AM30" s="319"/>
      <c r="AN30" s="45">
        <v>15</v>
      </c>
      <c r="AO30" s="316"/>
      <c r="AP30" s="298"/>
      <c r="AQ30" s="298"/>
      <c r="AR30" s="319"/>
      <c r="AS30" s="45">
        <v>15</v>
      </c>
      <c r="AT30" s="316"/>
      <c r="AU30" s="298"/>
      <c r="AV30" s="298"/>
      <c r="AW30" s="319"/>
      <c r="AX30" s="45">
        <v>15</v>
      </c>
      <c r="AY30" s="316"/>
      <c r="AZ30" s="298"/>
      <c r="BA30" s="298"/>
      <c r="BB30" s="319"/>
      <c r="BC30" s="45">
        <v>15</v>
      </c>
      <c r="BD30" s="316"/>
      <c r="BE30" s="298"/>
      <c r="BF30" s="298"/>
      <c r="BG30" s="319"/>
      <c r="BH30" s="45">
        <v>15</v>
      </c>
      <c r="BI30" s="316"/>
      <c r="BJ30" s="298"/>
      <c r="BK30" s="298"/>
      <c r="BL30" s="319"/>
      <c r="BM30" s="45">
        <v>15</v>
      </c>
      <c r="BN30" s="316"/>
      <c r="BO30" s="298"/>
      <c r="BP30" s="298"/>
      <c r="BQ30" s="319"/>
      <c r="BR30" s="45">
        <v>15</v>
      </c>
      <c r="BS30" s="316"/>
      <c r="BT30" s="298"/>
      <c r="BU30" s="298"/>
      <c r="BV30" s="319"/>
      <c r="BW30" s="45">
        <v>15</v>
      </c>
      <c r="BX30" s="316"/>
      <c r="BY30" s="298"/>
      <c r="BZ30" s="298"/>
      <c r="CA30" s="319"/>
      <c r="CB30" s="45">
        <v>15</v>
      </c>
      <c r="CC30" s="316"/>
      <c r="CD30" s="298"/>
      <c r="CE30" s="298"/>
      <c r="CF30" s="319"/>
      <c r="CG30" s="45"/>
      <c r="CH30" s="13"/>
      <c r="CI30" s="28"/>
      <c r="CJ30" s="28"/>
      <c r="CK30" s="44"/>
    </row>
    <row r="31" spans="1:89" ht="13.5" thickBot="1" x14ac:dyDescent="0.25">
      <c r="O31" s="45">
        <v>16</v>
      </c>
      <c r="P31" s="607" t="s">
        <v>327</v>
      </c>
      <c r="Q31" s="642">
        <f>VLOOKUP(P31,Apoio!C:E,2,0)</f>
        <v>227930</v>
      </c>
      <c r="R31" s="609">
        <v>220000</v>
      </c>
      <c r="S31" s="359">
        <v>5</v>
      </c>
      <c r="T31" s="43">
        <v>16</v>
      </c>
      <c r="U31" s="316"/>
      <c r="V31" s="298"/>
      <c r="W31" s="298"/>
      <c r="X31" s="319"/>
      <c r="Y31" s="43">
        <v>16</v>
      </c>
      <c r="Z31" s="316"/>
      <c r="AA31" s="298"/>
      <c r="AB31" s="540"/>
      <c r="AC31" s="319"/>
      <c r="AD31" s="43">
        <v>16</v>
      </c>
      <c r="AE31" s="316"/>
      <c r="AF31" s="298"/>
      <c r="AG31" s="298"/>
      <c r="AH31" s="319"/>
      <c r="AI31" s="43">
        <v>16</v>
      </c>
      <c r="AJ31" s="316"/>
      <c r="AK31" s="298"/>
      <c r="AL31" s="298"/>
      <c r="AM31" s="319"/>
      <c r="AN31" s="43">
        <v>16</v>
      </c>
      <c r="AO31" s="316"/>
      <c r="AP31" s="298"/>
      <c r="AQ31" s="298"/>
      <c r="AR31" s="319"/>
      <c r="AS31" s="43">
        <v>16</v>
      </c>
      <c r="AT31" s="316"/>
      <c r="AU31" s="298"/>
      <c r="AV31" s="298"/>
      <c r="AW31" s="319"/>
      <c r="AX31" s="43">
        <v>16</v>
      </c>
      <c r="AY31" s="316"/>
      <c r="AZ31" s="298"/>
      <c r="BA31" s="298"/>
      <c r="BB31" s="319"/>
      <c r="BC31" s="43">
        <v>16</v>
      </c>
      <c r="BD31" s="316"/>
      <c r="BE31" s="298"/>
      <c r="BF31" s="298"/>
      <c r="BG31" s="319"/>
      <c r="BH31" s="43">
        <v>16</v>
      </c>
      <c r="BI31" s="316"/>
      <c r="BJ31" s="298"/>
      <c r="BK31" s="298"/>
      <c r="BL31" s="319"/>
      <c r="BM31" s="43">
        <v>16</v>
      </c>
      <c r="BN31" s="316"/>
      <c r="BO31" s="298"/>
      <c r="BP31" s="298"/>
      <c r="BQ31" s="319"/>
      <c r="BR31" s="43">
        <v>16</v>
      </c>
      <c r="BS31" s="316"/>
      <c r="BT31" s="298"/>
      <c r="BU31" s="298"/>
      <c r="BV31" s="319"/>
      <c r="BW31" s="43">
        <v>16</v>
      </c>
      <c r="BX31" s="316"/>
      <c r="BY31" s="298"/>
      <c r="BZ31" s="298"/>
      <c r="CA31" s="319"/>
      <c r="CB31" s="43">
        <v>16</v>
      </c>
      <c r="CC31" s="316"/>
      <c r="CD31" s="298"/>
      <c r="CE31" s="298"/>
      <c r="CF31" s="319"/>
      <c r="CG31" s="43"/>
      <c r="CH31" s="13"/>
      <c r="CI31" s="28"/>
      <c r="CJ31" s="28"/>
      <c r="CK31" s="44"/>
    </row>
    <row r="32" spans="1:89" ht="13.5" thickBot="1" x14ac:dyDescent="0.25">
      <c r="D32" s="83" t="s">
        <v>154</v>
      </c>
      <c r="E32" s="71"/>
      <c r="O32" s="43">
        <v>17</v>
      </c>
      <c r="P32" s="607" t="s">
        <v>328</v>
      </c>
      <c r="Q32" s="642">
        <f>VLOOKUP(P32,Apoio!C:E,2,0)</f>
        <v>222960</v>
      </c>
      <c r="R32" s="609">
        <v>220000</v>
      </c>
      <c r="S32" s="359">
        <v>5</v>
      </c>
      <c r="T32" s="43">
        <v>17</v>
      </c>
      <c r="U32" s="316"/>
      <c r="V32" s="298"/>
      <c r="W32" s="298"/>
      <c r="X32" s="319"/>
      <c r="Y32" s="43">
        <v>17</v>
      </c>
      <c r="Z32" s="316"/>
      <c r="AA32" s="298"/>
      <c r="AB32" s="540"/>
      <c r="AC32" s="319"/>
      <c r="AD32" s="43">
        <v>17</v>
      </c>
      <c r="AE32" s="316"/>
      <c r="AF32" s="298"/>
      <c r="AG32" s="298"/>
      <c r="AH32" s="319"/>
      <c r="AI32" s="43">
        <v>17</v>
      </c>
      <c r="AJ32" s="316"/>
      <c r="AK32" s="298"/>
      <c r="AL32" s="298"/>
      <c r="AM32" s="319"/>
      <c r="AN32" s="43">
        <v>17</v>
      </c>
      <c r="AO32" s="316"/>
      <c r="AP32" s="298"/>
      <c r="AQ32" s="298"/>
      <c r="AR32" s="319"/>
      <c r="AS32" s="43">
        <v>17</v>
      </c>
      <c r="AT32" s="316"/>
      <c r="AU32" s="298"/>
      <c r="AV32" s="298"/>
      <c r="AW32" s="319"/>
      <c r="AX32" s="43">
        <v>17</v>
      </c>
      <c r="AY32" s="316"/>
      <c r="AZ32" s="298"/>
      <c r="BA32" s="298"/>
      <c r="BB32" s="319"/>
      <c r="BC32" s="43">
        <v>17</v>
      </c>
      <c r="BD32" s="316"/>
      <c r="BE32" s="298"/>
      <c r="BF32" s="298"/>
      <c r="BG32" s="319"/>
      <c r="BH32" s="43">
        <v>17</v>
      </c>
      <c r="BI32" s="316"/>
      <c r="BJ32" s="298"/>
      <c r="BK32" s="298"/>
      <c r="BL32" s="319"/>
      <c r="BM32" s="43">
        <v>17</v>
      </c>
      <c r="BN32" s="316"/>
      <c r="BO32" s="298"/>
      <c r="BP32" s="298"/>
      <c r="BQ32" s="319"/>
      <c r="BR32" s="43">
        <v>17</v>
      </c>
      <c r="BS32" s="316"/>
      <c r="BT32" s="298"/>
      <c r="BU32" s="298"/>
      <c r="BV32" s="319"/>
      <c r="BW32" s="43">
        <v>17</v>
      </c>
      <c r="BX32" s="316"/>
      <c r="BY32" s="298"/>
      <c r="BZ32" s="298"/>
      <c r="CA32" s="319"/>
      <c r="CB32" s="43">
        <v>17</v>
      </c>
      <c r="CC32" s="316"/>
      <c r="CD32" s="298"/>
      <c r="CE32" s="298"/>
      <c r="CF32" s="319"/>
      <c r="CG32" s="43"/>
      <c r="CH32" s="13"/>
      <c r="CI32" s="28"/>
      <c r="CJ32" s="28"/>
      <c r="CK32" s="44"/>
    </row>
    <row r="33" spans="4:89" ht="13.5" thickBot="1" x14ac:dyDescent="0.25">
      <c r="D33" s="88">
        <v>225000</v>
      </c>
      <c r="E33" s="72"/>
      <c r="O33" s="45">
        <v>18</v>
      </c>
      <c r="P33" s="607" t="s">
        <v>329</v>
      </c>
      <c r="Q33" s="642">
        <f>VLOOKUP(P33,Apoio!C:E,2,0)</f>
        <v>223010</v>
      </c>
      <c r="R33" s="609">
        <v>220000</v>
      </c>
      <c r="S33" s="359">
        <v>5</v>
      </c>
      <c r="T33" s="43">
        <v>18</v>
      </c>
      <c r="U33" s="316"/>
      <c r="V33" s="298"/>
      <c r="W33" s="298"/>
      <c r="X33" s="319"/>
      <c r="Y33" s="43">
        <v>18</v>
      </c>
      <c r="Z33" s="316"/>
      <c r="AA33" s="298"/>
      <c r="AB33" s="540"/>
      <c r="AC33" s="319"/>
      <c r="AD33" s="43">
        <v>18</v>
      </c>
      <c r="AE33" s="316"/>
      <c r="AF33" s="298"/>
      <c r="AG33" s="298"/>
      <c r="AH33" s="319"/>
      <c r="AI33" s="43">
        <v>18</v>
      </c>
      <c r="AJ33" s="316"/>
      <c r="AK33" s="298"/>
      <c r="AL33" s="298"/>
      <c r="AM33" s="319"/>
      <c r="AN33" s="43">
        <v>18</v>
      </c>
      <c r="AO33" s="316"/>
      <c r="AP33" s="298"/>
      <c r="AQ33" s="298"/>
      <c r="AR33" s="319"/>
      <c r="AS33" s="43">
        <v>18</v>
      </c>
      <c r="AT33" s="316"/>
      <c r="AU33" s="298"/>
      <c r="AV33" s="298"/>
      <c r="AW33" s="319"/>
      <c r="AX33" s="43">
        <v>18</v>
      </c>
      <c r="AY33" s="316"/>
      <c r="AZ33" s="298"/>
      <c r="BA33" s="298"/>
      <c r="BB33" s="319"/>
      <c r="BC33" s="43">
        <v>18</v>
      </c>
      <c r="BD33" s="316"/>
      <c r="BE33" s="298"/>
      <c r="BF33" s="298"/>
      <c r="BG33" s="319"/>
      <c r="BH33" s="43">
        <v>18</v>
      </c>
      <c r="BI33" s="316"/>
      <c r="BJ33" s="298"/>
      <c r="BK33" s="298"/>
      <c r="BL33" s="319"/>
      <c r="BM33" s="43">
        <v>18</v>
      </c>
      <c r="BN33" s="316"/>
      <c r="BO33" s="298"/>
      <c r="BP33" s="298"/>
      <c r="BQ33" s="319"/>
      <c r="BR33" s="43">
        <v>18</v>
      </c>
      <c r="BS33" s="316"/>
      <c r="BT33" s="298"/>
      <c r="BU33" s="298"/>
      <c r="BV33" s="319"/>
      <c r="BW33" s="43">
        <v>18</v>
      </c>
      <c r="BX33" s="316"/>
      <c r="BY33" s="298"/>
      <c r="BZ33" s="298"/>
      <c r="CA33" s="319"/>
      <c r="CB33" s="43">
        <v>18</v>
      </c>
      <c r="CC33" s="316"/>
      <c r="CD33" s="298"/>
      <c r="CE33" s="298"/>
      <c r="CF33" s="319"/>
      <c r="CG33" s="43"/>
      <c r="CH33" s="13"/>
      <c r="CI33" s="28"/>
      <c r="CJ33" s="28"/>
      <c r="CK33" s="44"/>
    </row>
    <row r="34" spans="4:89" ht="13.5" thickBot="1" x14ac:dyDescent="0.25">
      <c r="D34" s="88">
        <v>250000</v>
      </c>
      <c r="E34" s="72"/>
      <c r="O34" s="43">
        <v>19</v>
      </c>
      <c r="P34" s="607" t="s">
        <v>330</v>
      </c>
      <c r="Q34" s="642">
        <f>VLOOKUP(P34,Apoio!C:E,2,0)</f>
        <v>223010</v>
      </c>
      <c r="R34" s="609">
        <v>220000</v>
      </c>
      <c r="S34" s="359">
        <v>5</v>
      </c>
      <c r="T34" s="43">
        <v>19</v>
      </c>
      <c r="U34" s="316"/>
      <c r="V34" s="298"/>
      <c r="W34" s="298"/>
      <c r="X34" s="319"/>
      <c r="Y34" s="43">
        <v>19</v>
      </c>
      <c r="Z34" s="316"/>
      <c r="AA34" s="298"/>
      <c r="AB34" s="540"/>
      <c r="AC34" s="319"/>
      <c r="AD34" s="43">
        <v>19</v>
      </c>
      <c r="AE34" s="316"/>
      <c r="AF34" s="298"/>
      <c r="AG34" s="298"/>
      <c r="AH34" s="319"/>
      <c r="AI34" s="43">
        <v>19</v>
      </c>
      <c r="AJ34" s="316"/>
      <c r="AK34" s="298"/>
      <c r="AL34" s="298"/>
      <c r="AM34" s="319"/>
      <c r="AN34" s="43">
        <v>19</v>
      </c>
      <c r="AO34" s="316"/>
      <c r="AP34" s="298"/>
      <c r="AQ34" s="298"/>
      <c r="AR34" s="319"/>
      <c r="AS34" s="43">
        <v>19</v>
      </c>
      <c r="AT34" s="316"/>
      <c r="AU34" s="298"/>
      <c r="AV34" s="298"/>
      <c r="AW34" s="319"/>
      <c r="AX34" s="43">
        <v>19</v>
      </c>
      <c r="AY34" s="316"/>
      <c r="AZ34" s="298"/>
      <c r="BA34" s="298"/>
      <c r="BB34" s="319"/>
      <c r="BC34" s="43">
        <v>19</v>
      </c>
      <c r="BD34" s="316"/>
      <c r="BE34" s="298"/>
      <c r="BF34" s="298"/>
      <c r="BG34" s="319"/>
      <c r="BH34" s="43">
        <v>19</v>
      </c>
      <c r="BI34" s="316"/>
      <c r="BJ34" s="298"/>
      <c r="BK34" s="298"/>
      <c r="BL34" s="319"/>
      <c r="BM34" s="43">
        <v>19</v>
      </c>
      <c r="BN34" s="316"/>
      <c r="BO34" s="298"/>
      <c r="BP34" s="298"/>
      <c r="BQ34" s="319"/>
      <c r="BR34" s="43">
        <v>19</v>
      </c>
      <c r="BS34" s="316"/>
      <c r="BT34" s="298"/>
      <c r="BU34" s="298"/>
      <c r="BV34" s="319"/>
      <c r="BW34" s="43">
        <v>19</v>
      </c>
      <c r="BX34" s="316"/>
      <c r="BY34" s="298"/>
      <c r="BZ34" s="298"/>
      <c r="CA34" s="319"/>
      <c r="CB34" s="43">
        <v>19</v>
      </c>
      <c r="CC34" s="316"/>
      <c r="CD34" s="298"/>
      <c r="CE34" s="298"/>
      <c r="CF34" s="319"/>
      <c r="CG34" s="43"/>
      <c r="CH34" s="13"/>
      <c r="CI34" s="28"/>
      <c r="CJ34" s="28"/>
      <c r="CK34" s="44"/>
    </row>
    <row r="35" spans="4:89" ht="13.5" thickBot="1" x14ac:dyDescent="0.25">
      <c r="O35" s="45">
        <v>20</v>
      </c>
      <c r="P35" s="607" t="s">
        <v>331</v>
      </c>
      <c r="Q35" s="642">
        <f>VLOOKUP(P35,Apoio!C:E,2,0)</f>
        <v>222960</v>
      </c>
      <c r="R35" s="609">
        <v>220000</v>
      </c>
      <c r="S35" s="359">
        <v>5</v>
      </c>
      <c r="T35" s="45">
        <v>20</v>
      </c>
      <c r="U35" s="316"/>
      <c r="V35" s="298"/>
      <c r="W35" s="298"/>
      <c r="X35" s="319"/>
      <c r="Y35" s="45">
        <v>20</v>
      </c>
      <c r="Z35" s="316"/>
      <c r="AA35" s="298"/>
      <c r="AB35" s="540"/>
      <c r="AC35" s="319"/>
      <c r="AD35" s="45">
        <v>20</v>
      </c>
      <c r="AE35" s="316"/>
      <c r="AF35" s="298"/>
      <c r="AG35" s="298"/>
      <c r="AH35" s="319"/>
      <c r="AI35" s="45">
        <v>20</v>
      </c>
      <c r="AJ35" s="316"/>
      <c r="AK35" s="298"/>
      <c r="AL35" s="298"/>
      <c r="AM35" s="319"/>
      <c r="AN35" s="45">
        <v>20</v>
      </c>
      <c r="AO35" s="316"/>
      <c r="AP35" s="298"/>
      <c r="AQ35" s="298"/>
      <c r="AR35" s="319"/>
      <c r="AS35" s="45">
        <v>20</v>
      </c>
      <c r="AT35" s="316"/>
      <c r="AU35" s="298"/>
      <c r="AV35" s="298"/>
      <c r="AW35" s="319"/>
      <c r="AX35" s="45">
        <v>20</v>
      </c>
      <c r="AY35" s="316"/>
      <c r="AZ35" s="298"/>
      <c r="BA35" s="298"/>
      <c r="BB35" s="319"/>
      <c r="BC35" s="45">
        <v>20</v>
      </c>
      <c r="BD35" s="316"/>
      <c r="BE35" s="298"/>
      <c r="BF35" s="298"/>
      <c r="BG35" s="319"/>
      <c r="BH35" s="45">
        <v>20</v>
      </c>
      <c r="BI35" s="316"/>
      <c r="BJ35" s="298"/>
      <c r="BK35" s="298"/>
      <c r="BL35" s="319"/>
      <c r="BM35" s="45">
        <v>20</v>
      </c>
      <c r="BN35" s="316"/>
      <c r="BO35" s="298"/>
      <c r="BP35" s="298"/>
      <c r="BQ35" s="319"/>
      <c r="BR35" s="45">
        <v>20</v>
      </c>
      <c r="BS35" s="316"/>
      <c r="BT35" s="298"/>
      <c r="BU35" s="298"/>
      <c r="BV35" s="319"/>
      <c r="BW35" s="45">
        <v>20</v>
      </c>
      <c r="BX35" s="316"/>
      <c r="BY35" s="298"/>
      <c r="BZ35" s="298"/>
      <c r="CA35" s="319"/>
      <c r="CB35" s="45">
        <v>20</v>
      </c>
      <c r="CC35" s="316"/>
      <c r="CD35" s="298"/>
      <c r="CE35" s="298"/>
      <c r="CF35" s="319"/>
      <c r="CG35" s="45"/>
      <c r="CH35" s="13"/>
      <c r="CI35" s="28"/>
      <c r="CJ35" s="28"/>
      <c r="CK35" s="44"/>
    </row>
    <row r="36" spans="4:89" ht="13.5" thickBot="1" x14ac:dyDescent="0.25">
      <c r="O36" s="43">
        <v>21</v>
      </c>
      <c r="P36" s="607" t="s">
        <v>332</v>
      </c>
      <c r="Q36" s="642">
        <f>VLOOKUP(P36,Apoio!C:E,2,0)</f>
        <v>227930</v>
      </c>
      <c r="R36" s="609">
        <v>220000</v>
      </c>
      <c r="S36" s="359">
        <v>5</v>
      </c>
      <c r="T36" s="45">
        <v>21</v>
      </c>
      <c r="U36" s="316"/>
      <c r="V36" s="298"/>
      <c r="W36" s="298"/>
      <c r="X36" s="319"/>
      <c r="Y36" s="45">
        <v>21</v>
      </c>
      <c r="Z36" s="316"/>
      <c r="AA36" s="298"/>
      <c r="AB36" s="540"/>
      <c r="AC36" s="319"/>
      <c r="AD36" s="45">
        <v>21</v>
      </c>
      <c r="AE36" s="316"/>
      <c r="AF36" s="298"/>
      <c r="AG36" s="298"/>
      <c r="AH36" s="319"/>
      <c r="AI36" s="45">
        <v>21</v>
      </c>
      <c r="AJ36" s="316"/>
      <c r="AK36" s="298"/>
      <c r="AL36" s="298"/>
      <c r="AM36" s="319"/>
      <c r="AN36" s="45">
        <v>21</v>
      </c>
      <c r="AO36" s="316"/>
      <c r="AP36" s="298"/>
      <c r="AQ36" s="298"/>
      <c r="AR36" s="319"/>
      <c r="AS36" s="45">
        <v>21</v>
      </c>
      <c r="AT36" s="316"/>
      <c r="AU36" s="298"/>
      <c r="AV36" s="298"/>
      <c r="AW36" s="319"/>
      <c r="AX36" s="45">
        <v>21</v>
      </c>
      <c r="AY36" s="316"/>
      <c r="AZ36" s="298"/>
      <c r="BA36" s="298"/>
      <c r="BB36" s="319"/>
      <c r="BC36" s="45">
        <v>21</v>
      </c>
      <c r="BD36" s="316"/>
      <c r="BE36" s="298"/>
      <c r="BF36" s="298"/>
      <c r="BG36" s="319"/>
      <c r="BH36" s="45">
        <v>21</v>
      </c>
      <c r="BI36" s="316"/>
      <c r="BJ36" s="298"/>
      <c r="BK36" s="298"/>
      <c r="BL36" s="319"/>
      <c r="BM36" s="45">
        <v>21</v>
      </c>
      <c r="BN36" s="316"/>
      <c r="BO36" s="298"/>
      <c r="BP36" s="298"/>
      <c r="BQ36" s="319"/>
      <c r="BR36" s="45">
        <v>21</v>
      </c>
      <c r="BS36" s="316"/>
      <c r="BT36" s="298"/>
      <c r="BU36" s="298"/>
      <c r="BV36" s="319"/>
      <c r="BW36" s="45">
        <v>21</v>
      </c>
      <c r="BX36" s="316"/>
      <c r="BY36" s="298"/>
      <c r="BZ36" s="298"/>
      <c r="CA36" s="319"/>
      <c r="CB36" s="45">
        <v>21</v>
      </c>
      <c r="CC36" s="316"/>
      <c r="CD36" s="298"/>
      <c r="CE36" s="298"/>
      <c r="CF36" s="319"/>
      <c r="CG36" s="45"/>
      <c r="CH36" s="13"/>
      <c r="CI36" s="28"/>
      <c r="CJ36" s="28"/>
      <c r="CK36" s="44"/>
    </row>
    <row r="37" spans="4:89" ht="13.5" thickBot="1" x14ac:dyDescent="0.25">
      <c r="O37" s="45">
        <v>22</v>
      </c>
      <c r="P37" s="607" t="s">
        <v>333</v>
      </c>
      <c r="Q37" s="642">
        <f>VLOOKUP(P37,Apoio!C:E,2,0)</f>
        <v>227850</v>
      </c>
      <c r="R37" s="609">
        <v>220000</v>
      </c>
      <c r="S37" s="359">
        <v>5</v>
      </c>
      <c r="T37" s="311">
        <v>22</v>
      </c>
      <c r="U37" s="318"/>
      <c r="V37" s="312"/>
      <c r="W37" s="312"/>
      <c r="X37" s="322"/>
      <c r="Y37" s="311">
        <v>22</v>
      </c>
      <c r="Z37" s="318"/>
      <c r="AA37" s="312"/>
      <c r="AB37" s="540"/>
      <c r="AC37" s="322"/>
      <c r="AD37" s="311">
        <v>22</v>
      </c>
      <c r="AE37" s="318"/>
      <c r="AF37" s="312"/>
      <c r="AG37" s="312"/>
      <c r="AH37" s="322"/>
      <c r="AI37" s="311">
        <v>22</v>
      </c>
      <c r="AJ37" s="318"/>
      <c r="AK37" s="312"/>
      <c r="AL37" s="312"/>
      <c r="AM37" s="322"/>
      <c r="AN37" s="311">
        <v>22</v>
      </c>
      <c r="AO37" s="318"/>
      <c r="AP37" s="312"/>
      <c r="AQ37" s="312"/>
      <c r="AR37" s="322"/>
      <c r="AS37" s="311">
        <v>22</v>
      </c>
      <c r="AT37" s="318"/>
      <c r="AU37" s="312"/>
      <c r="AV37" s="312"/>
      <c r="AW37" s="322"/>
      <c r="AX37" s="311">
        <v>22</v>
      </c>
      <c r="AY37" s="318"/>
      <c r="AZ37" s="312"/>
      <c r="BA37" s="312"/>
      <c r="BB37" s="322"/>
      <c r="BC37" s="311">
        <v>22</v>
      </c>
      <c r="BD37" s="318"/>
      <c r="BE37" s="312"/>
      <c r="BF37" s="312"/>
      <c r="BG37" s="322"/>
      <c r="BH37" s="311">
        <v>22</v>
      </c>
      <c r="BI37" s="318"/>
      <c r="BJ37" s="312"/>
      <c r="BK37" s="312"/>
      <c r="BL37" s="322"/>
      <c r="BM37" s="311">
        <v>22</v>
      </c>
      <c r="BN37" s="318"/>
      <c r="BO37" s="312"/>
      <c r="BP37" s="312"/>
      <c r="BQ37" s="322"/>
      <c r="BR37" s="311">
        <v>22</v>
      </c>
      <c r="BS37" s="318"/>
      <c r="BT37" s="312"/>
      <c r="BU37" s="312"/>
      <c r="BV37" s="322"/>
      <c r="BW37" s="311">
        <v>22</v>
      </c>
      <c r="BX37" s="318"/>
      <c r="BY37" s="312"/>
      <c r="BZ37" s="312"/>
      <c r="CA37" s="322"/>
      <c r="CB37" s="311">
        <v>22</v>
      </c>
      <c r="CC37" s="318"/>
      <c r="CD37" s="312"/>
      <c r="CE37" s="312"/>
      <c r="CF37" s="322"/>
      <c r="CG37" s="43"/>
      <c r="CH37" s="13"/>
      <c r="CI37" s="28"/>
      <c r="CJ37" s="28"/>
      <c r="CK37" s="44"/>
    </row>
    <row r="38" spans="4:89" ht="12.75" customHeight="1" thickBot="1" x14ac:dyDescent="0.25">
      <c r="O38" s="43">
        <v>23</v>
      </c>
      <c r="P38" s="607" t="s">
        <v>334</v>
      </c>
      <c r="Q38" s="642">
        <f>VLOOKUP(P38,Apoio!C:E,2,0)</f>
        <v>227850</v>
      </c>
      <c r="R38" s="609">
        <v>220000</v>
      </c>
      <c r="S38" s="359">
        <v>5</v>
      </c>
      <c r="T38" s="48"/>
      <c r="U38" s="39"/>
      <c r="V38" s="39"/>
      <c r="W38" s="40"/>
      <c r="Y38" s="48"/>
      <c r="Z38" s="39"/>
      <c r="AA38" s="39"/>
      <c r="AB38" s="40"/>
      <c r="AD38" s="48"/>
      <c r="AE38" s="39"/>
      <c r="AF38" s="39"/>
      <c r="AG38" s="40"/>
      <c r="AI38" s="48"/>
      <c r="AJ38" s="39"/>
      <c r="AK38" s="39"/>
      <c r="AL38" s="40"/>
      <c r="AN38" s="48"/>
      <c r="AO38" s="39"/>
      <c r="AP38" s="39"/>
      <c r="AQ38" s="40"/>
      <c r="AS38" s="48"/>
      <c r="AT38" s="39"/>
      <c r="AU38" s="39"/>
      <c r="AV38" s="40"/>
      <c r="AX38" s="48"/>
      <c r="AY38" s="39"/>
      <c r="AZ38" s="39"/>
      <c r="BA38" s="40"/>
      <c r="BC38" s="48"/>
      <c r="BD38" s="39"/>
      <c r="BE38" s="39"/>
      <c r="BF38" s="40"/>
      <c r="BH38" s="48"/>
      <c r="BI38" s="39"/>
      <c r="BJ38" s="39"/>
      <c r="BK38" s="40"/>
      <c r="BM38" s="48"/>
      <c r="BN38" s="39"/>
      <c r="BO38" s="39"/>
      <c r="BP38" s="40"/>
      <c r="BR38" s="48"/>
      <c r="BS38" s="39"/>
      <c r="BT38" s="39"/>
      <c r="BU38" s="40"/>
      <c r="BW38" s="48"/>
      <c r="BX38" s="39"/>
      <c r="BY38" s="39"/>
      <c r="BZ38" s="40"/>
      <c r="CB38" s="48"/>
      <c r="CC38" s="39"/>
      <c r="CD38" s="39"/>
      <c r="CE38" s="40"/>
      <c r="CG38" s="48"/>
      <c r="CH38" s="39"/>
      <c r="CI38" s="39"/>
      <c r="CJ38" s="40"/>
    </row>
    <row r="39" spans="4:89" ht="12.75" customHeight="1" thickBot="1" x14ac:dyDescent="0.25">
      <c r="O39" s="45">
        <v>24</v>
      </c>
      <c r="P39" s="607" t="s">
        <v>335</v>
      </c>
      <c r="Q39" s="642">
        <f>VLOOKUP(P39,Apoio!C:E,2,0)</f>
        <v>240000</v>
      </c>
      <c r="R39" s="609">
        <v>240000</v>
      </c>
      <c r="S39" s="359">
        <v>5</v>
      </c>
      <c r="T39" s="37"/>
      <c r="U39" s="39"/>
      <c r="V39" s="39"/>
      <c r="W39" s="40"/>
      <c r="Y39" s="37"/>
      <c r="Z39" s="39"/>
      <c r="AA39" s="39"/>
      <c r="AB39" s="40"/>
      <c r="AD39" s="37"/>
      <c r="AE39" s="39"/>
      <c r="AF39" s="39"/>
      <c r="AG39" s="40"/>
      <c r="AI39" s="37"/>
      <c r="AJ39" s="39"/>
      <c r="AK39" s="39"/>
      <c r="AL39" s="40"/>
      <c r="AN39" s="37"/>
      <c r="AO39" s="39"/>
      <c r="AP39" s="39"/>
      <c r="AQ39" s="40"/>
      <c r="AS39" s="37"/>
      <c r="AT39" s="39"/>
      <c r="AU39" s="39"/>
      <c r="AV39" s="40"/>
      <c r="AX39" s="37"/>
      <c r="AY39" s="39"/>
      <c r="AZ39" s="39"/>
      <c r="BA39" s="40"/>
      <c r="BC39" s="37"/>
      <c r="BD39" s="39"/>
      <c r="BE39" s="39"/>
      <c r="BF39" s="40"/>
      <c r="BH39" s="37"/>
      <c r="BI39" s="39"/>
      <c r="BJ39" s="39"/>
      <c r="BK39" s="40"/>
      <c r="BM39" s="37"/>
      <c r="BN39" s="39"/>
      <c r="BO39" s="39"/>
      <c r="BP39" s="40"/>
      <c r="BR39" s="37"/>
      <c r="BS39" s="39"/>
      <c r="BT39" s="39"/>
      <c r="BU39" s="40"/>
      <c r="BW39" s="37"/>
      <c r="BX39" s="39"/>
      <c r="BY39" s="39"/>
      <c r="BZ39" s="40"/>
      <c r="CB39" s="37"/>
      <c r="CC39" s="39"/>
      <c r="CD39" s="39"/>
      <c r="CE39" s="40"/>
      <c r="CG39" s="37"/>
      <c r="CH39" s="39"/>
      <c r="CI39" s="39"/>
      <c r="CJ39" s="40"/>
    </row>
    <row r="40" spans="4:89" ht="12.75" customHeight="1" thickBot="1" x14ac:dyDescent="0.25">
      <c r="O40" s="43">
        <v>25</v>
      </c>
      <c r="P40" s="607" t="s">
        <v>336</v>
      </c>
      <c r="Q40" s="642">
        <f>VLOOKUP(P40,Apoio!C:E,2,0)</f>
        <v>240000</v>
      </c>
      <c r="R40" s="609">
        <v>240000</v>
      </c>
      <c r="S40" s="359">
        <v>5</v>
      </c>
      <c r="T40" s="49" t="s">
        <v>17</v>
      </c>
      <c r="U40" s="19"/>
      <c r="V40" s="34"/>
      <c r="W40" s="8"/>
      <c r="Y40" s="49" t="s">
        <v>17</v>
      </c>
      <c r="Z40" s="19"/>
      <c r="AA40" s="34"/>
      <c r="AB40" s="8"/>
      <c r="AD40" s="49" t="s">
        <v>17</v>
      </c>
      <c r="AE40" s="19" t="s">
        <v>61</v>
      </c>
      <c r="AF40" s="34" t="s">
        <v>14</v>
      </c>
      <c r="AG40" s="8" t="s">
        <v>15</v>
      </c>
      <c r="AI40" s="49" t="s">
        <v>17</v>
      </c>
      <c r="AJ40" s="19" t="s">
        <v>61</v>
      </c>
      <c r="AK40" s="34" t="s">
        <v>14</v>
      </c>
      <c r="AL40" s="8" t="s">
        <v>15</v>
      </c>
      <c r="AN40" s="49" t="s">
        <v>17</v>
      </c>
      <c r="AO40" s="19" t="s">
        <v>61</v>
      </c>
      <c r="AP40" s="34" t="s">
        <v>14</v>
      </c>
      <c r="AQ40" s="8" t="s">
        <v>15</v>
      </c>
      <c r="AS40" s="49" t="s">
        <v>17</v>
      </c>
      <c r="AT40" s="19" t="s">
        <v>61</v>
      </c>
      <c r="AU40" s="34" t="s">
        <v>14</v>
      </c>
      <c r="AV40" s="8" t="s">
        <v>15</v>
      </c>
      <c r="AX40" s="49" t="s">
        <v>17</v>
      </c>
      <c r="AY40" s="19" t="s">
        <v>61</v>
      </c>
      <c r="AZ40" s="34" t="s">
        <v>14</v>
      </c>
      <c r="BA40" s="8" t="s">
        <v>15</v>
      </c>
      <c r="BC40" s="49" t="s">
        <v>17</v>
      </c>
      <c r="BD40" s="19" t="s">
        <v>61</v>
      </c>
      <c r="BE40" s="34" t="s">
        <v>14</v>
      </c>
      <c r="BF40" s="8" t="s">
        <v>15</v>
      </c>
      <c r="BH40" s="49" t="s">
        <v>17</v>
      </c>
      <c r="BI40" s="19" t="s">
        <v>61</v>
      </c>
      <c r="BJ40" s="34" t="s">
        <v>14</v>
      </c>
      <c r="BK40" s="8" t="s">
        <v>15</v>
      </c>
      <c r="BM40" s="49" t="s">
        <v>17</v>
      </c>
      <c r="BN40" s="19" t="s">
        <v>61</v>
      </c>
      <c r="BO40" s="34" t="s">
        <v>14</v>
      </c>
      <c r="BP40" s="8" t="s">
        <v>15</v>
      </c>
      <c r="BR40" s="49" t="s">
        <v>17</v>
      </c>
      <c r="BS40" s="19" t="s">
        <v>61</v>
      </c>
      <c r="BT40" s="34" t="s">
        <v>14</v>
      </c>
      <c r="BU40" s="8" t="s">
        <v>15</v>
      </c>
      <c r="BW40" s="49" t="s">
        <v>17</v>
      </c>
      <c r="BX40" s="19" t="s">
        <v>61</v>
      </c>
      <c r="BY40" s="34" t="s">
        <v>14</v>
      </c>
      <c r="BZ40" s="8" t="s">
        <v>15</v>
      </c>
      <c r="CB40" s="49" t="s">
        <v>17</v>
      </c>
      <c r="CC40" s="19" t="s">
        <v>61</v>
      </c>
      <c r="CD40" s="34" t="s">
        <v>14</v>
      </c>
      <c r="CE40" s="8" t="s">
        <v>15</v>
      </c>
      <c r="CG40" s="49"/>
      <c r="CH40" s="19"/>
      <c r="CI40" s="34"/>
      <c r="CJ40" s="8"/>
    </row>
    <row r="41" spans="4:89" ht="12.75" customHeight="1" thickBot="1" x14ac:dyDescent="0.25">
      <c r="O41" s="45">
        <v>26</v>
      </c>
      <c r="P41" s="607" t="s">
        <v>337</v>
      </c>
      <c r="Q41" s="642">
        <f>VLOOKUP(P41,Apoio!C:E,2,0)</f>
        <v>240000</v>
      </c>
      <c r="R41" s="609">
        <v>240000</v>
      </c>
      <c r="S41" s="359">
        <v>5</v>
      </c>
      <c r="T41" s="51"/>
      <c r="U41" s="12"/>
      <c r="V41" s="3"/>
      <c r="W41" s="27"/>
      <c r="Y41" s="51"/>
      <c r="Z41" s="12"/>
      <c r="AA41" s="3"/>
      <c r="AB41" s="27"/>
      <c r="AD41" s="51"/>
      <c r="AE41" s="12"/>
      <c r="AF41" s="3"/>
      <c r="AG41" s="27"/>
      <c r="AI41" s="51"/>
      <c r="AJ41" s="12"/>
      <c r="AK41" s="3"/>
      <c r="AL41" s="27"/>
      <c r="AN41" s="51"/>
      <c r="AO41" s="12"/>
      <c r="AP41" s="3"/>
      <c r="AQ41" s="27"/>
      <c r="AS41" s="51"/>
      <c r="AT41" s="12"/>
      <c r="AU41" s="3"/>
      <c r="AV41" s="27"/>
      <c r="AX41" s="51"/>
      <c r="AY41" s="12"/>
      <c r="AZ41" s="3"/>
      <c r="BA41" s="27"/>
      <c r="BC41" s="51"/>
      <c r="BD41" s="12"/>
      <c r="BE41" s="3"/>
      <c r="BF41" s="27"/>
      <c r="BH41" s="51"/>
      <c r="BI41" s="12"/>
      <c r="BJ41" s="3"/>
      <c r="BK41" s="27"/>
      <c r="BM41" s="51"/>
      <c r="BN41" s="12"/>
      <c r="BO41" s="3"/>
      <c r="BP41" s="27"/>
      <c r="BR41" s="51"/>
      <c r="BS41" s="12"/>
      <c r="BT41" s="3"/>
      <c r="BU41" s="27"/>
      <c r="BW41" s="51"/>
      <c r="BX41" s="12"/>
      <c r="BY41" s="3"/>
      <c r="BZ41" s="27"/>
      <c r="CB41" s="51"/>
      <c r="CC41" s="12"/>
      <c r="CD41" s="3"/>
      <c r="CE41" s="27"/>
      <c r="CG41" s="51"/>
      <c r="CH41" s="12"/>
      <c r="CI41" s="3"/>
      <c r="CJ41" s="27"/>
    </row>
    <row r="42" spans="4:89" ht="12.75" customHeight="1" thickBot="1" x14ac:dyDescent="0.25">
      <c r="O42" s="43">
        <v>27</v>
      </c>
      <c r="P42" s="607" t="s">
        <v>338</v>
      </c>
      <c r="Q42" s="642">
        <f>VLOOKUP(P42,Apoio!C:E,2,0)</f>
        <v>240000</v>
      </c>
      <c r="R42" s="609">
        <v>240000</v>
      </c>
      <c r="S42" s="359">
        <v>5</v>
      </c>
      <c r="T42" s="52">
        <v>1</v>
      </c>
      <c r="U42" s="31"/>
      <c r="V42" s="9"/>
      <c r="W42" s="67"/>
      <c r="Y42" s="52">
        <v>1</v>
      </c>
      <c r="Z42" s="31"/>
      <c r="AA42" s="9"/>
      <c r="AB42" s="67"/>
      <c r="AD42" s="52">
        <v>1</v>
      </c>
      <c r="AE42" s="31">
        <v>39965</v>
      </c>
      <c r="AF42" s="9">
        <v>0</v>
      </c>
      <c r="AG42" s="67" t="e">
        <f>IF(AD42&lt;'DADOS DOS EMPREENDIMENTOS'!AF$11,0,IF(AD42='DADOS DOS EMPREENDIMENTOS'!AF$11,SUM(AF$41:AF42)*(1-'DADOS DOS EMPREENDIMENTOS'!#REF!-'DADOS DOS EMPREENDIMENTOS'!#REF!)+'DADOS DOS EMPREENDIMENTOS'!#REF!,IF(AD42='DADOS DOS EMPREENDIMENTOS'!#REF!,'DADOS DOS EMPREENDIMENTOS'!#REF!,AF42*(1-'DADOS DOS EMPREENDIMENTOS'!#REF!-'DADOS DOS EMPREENDIMENTOS'!#REF!))))</f>
        <v>#REF!</v>
      </c>
      <c r="AI42" s="52">
        <v>1</v>
      </c>
      <c r="AJ42" s="31">
        <v>39965</v>
      </c>
      <c r="AK42" s="9">
        <v>0</v>
      </c>
      <c r="AL42" s="67" t="e">
        <f>IF(AI42&lt;'DADOS DOS EMPREENDIMENTOS'!AK$11,0,IF(AI42='DADOS DOS EMPREENDIMENTOS'!AK$11,SUM(AK$41:AK42)*(1-'DADOS DOS EMPREENDIMENTOS'!#REF!-'DADOS DOS EMPREENDIMENTOS'!#REF!)+'DADOS DOS EMPREENDIMENTOS'!#REF!,IF(AI42='DADOS DOS EMPREENDIMENTOS'!#REF!,'DADOS DOS EMPREENDIMENTOS'!#REF!,AK42*(1-'DADOS DOS EMPREENDIMENTOS'!#REF!-'DADOS DOS EMPREENDIMENTOS'!#REF!))))</f>
        <v>#REF!</v>
      </c>
      <c r="AN42" s="52">
        <v>1</v>
      </c>
      <c r="AO42" s="31">
        <v>39965</v>
      </c>
      <c r="AP42" s="9">
        <v>0</v>
      </c>
      <c r="AQ42" s="67" t="e">
        <f>IF(AN42&lt;'DADOS DOS EMPREENDIMENTOS'!AP$11,0,IF(AN42='DADOS DOS EMPREENDIMENTOS'!AP$11,SUM(AP$41:AP42)*(1-'DADOS DOS EMPREENDIMENTOS'!#REF!-'DADOS DOS EMPREENDIMENTOS'!#REF!)+'DADOS DOS EMPREENDIMENTOS'!#REF!,IF(AN42='DADOS DOS EMPREENDIMENTOS'!#REF!,'DADOS DOS EMPREENDIMENTOS'!#REF!,AP42*(1-'DADOS DOS EMPREENDIMENTOS'!#REF!-'DADOS DOS EMPREENDIMENTOS'!#REF!))))</f>
        <v>#REF!</v>
      </c>
      <c r="AS42" s="52">
        <v>1</v>
      </c>
      <c r="AT42" s="31">
        <v>39965</v>
      </c>
      <c r="AU42" s="9">
        <v>0</v>
      </c>
      <c r="AV42" s="67" t="e">
        <f>IF(AS42&lt;'DADOS DOS EMPREENDIMENTOS'!AU$11,0,IF(AS42='DADOS DOS EMPREENDIMENTOS'!AU$11,SUM(AU$41:AU42)*(1-'DADOS DOS EMPREENDIMENTOS'!#REF!-'DADOS DOS EMPREENDIMENTOS'!#REF!)+'DADOS DOS EMPREENDIMENTOS'!#REF!,IF(AS42='DADOS DOS EMPREENDIMENTOS'!#REF!,'DADOS DOS EMPREENDIMENTOS'!#REF!,AU42*(1-'DADOS DOS EMPREENDIMENTOS'!#REF!-'DADOS DOS EMPREENDIMENTOS'!#REF!))))</f>
        <v>#REF!</v>
      </c>
      <c r="AX42" s="52">
        <v>1</v>
      </c>
      <c r="AY42" s="31">
        <v>39965</v>
      </c>
      <c r="AZ42" s="9">
        <v>0</v>
      </c>
      <c r="BA42" s="67" t="e">
        <f>IF(AX42&lt;'DADOS DOS EMPREENDIMENTOS'!AZ$11,0,IF(AX42='DADOS DOS EMPREENDIMENTOS'!AZ$11,SUM(AZ$41:AZ42)*(1-'DADOS DOS EMPREENDIMENTOS'!#REF!-'DADOS DOS EMPREENDIMENTOS'!#REF!)+'DADOS DOS EMPREENDIMENTOS'!#REF!,IF(AX42='DADOS DOS EMPREENDIMENTOS'!#REF!,'DADOS DOS EMPREENDIMENTOS'!#REF!,AZ42*(1-'DADOS DOS EMPREENDIMENTOS'!#REF!-'DADOS DOS EMPREENDIMENTOS'!#REF!))))</f>
        <v>#REF!</v>
      </c>
      <c r="BC42" s="52">
        <v>1</v>
      </c>
      <c r="BD42" s="31">
        <v>39965</v>
      </c>
      <c r="BE42" s="9">
        <v>0</v>
      </c>
      <c r="BF42" s="67" t="e">
        <f>IF(BC42&lt;'DADOS DOS EMPREENDIMENTOS'!BE$11,0,IF(BC42='DADOS DOS EMPREENDIMENTOS'!BE$11,SUM(BE$41:BE42)*(1-'DADOS DOS EMPREENDIMENTOS'!#REF!-'DADOS DOS EMPREENDIMENTOS'!#REF!)+'DADOS DOS EMPREENDIMENTOS'!#REF!,IF(BC42='DADOS DOS EMPREENDIMENTOS'!#REF!,'DADOS DOS EMPREENDIMENTOS'!#REF!,BE42*(1-'DADOS DOS EMPREENDIMENTOS'!#REF!-'DADOS DOS EMPREENDIMENTOS'!#REF!))))</f>
        <v>#REF!</v>
      </c>
      <c r="BH42" s="52">
        <v>1</v>
      </c>
      <c r="BI42" s="31">
        <v>39965</v>
      </c>
      <c r="BJ42" s="9">
        <v>0</v>
      </c>
      <c r="BK42" s="67" t="e">
        <f>IF(BH42&lt;'DADOS DOS EMPREENDIMENTOS'!BJ$11,0,IF(BH42='DADOS DOS EMPREENDIMENTOS'!BJ$11,SUM(BJ$41:BJ42)*(1-'DADOS DOS EMPREENDIMENTOS'!#REF!-'DADOS DOS EMPREENDIMENTOS'!#REF!)+'DADOS DOS EMPREENDIMENTOS'!#REF!,IF(BH42='DADOS DOS EMPREENDIMENTOS'!#REF!,'DADOS DOS EMPREENDIMENTOS'!#REF!,BJ42*(1-'DADOS DOS EMPREENDIMENTOS'!#REF!-'DADOS DOS EMPREENDIMENTOS'!#REF!))))</f>
        <v>#REF!</v>
      </c>
      <c r="BM42" s="52">
        <v>1</v>
      </c>
      <c r="BN42" s="31">
        <v>39965</v>
      </c>
      <c r="BO42" s="9">
        <v>0</v>
      </c>
      <c r="BP42" s="67" t="e">
        <f>IF(BM42&lt;'DADOS DOS EMPREENDIMENTOS'!BO$11,0,IF(BM42='DADOS DOS EMPREENDIMENTOS'!BO$11,SUM(BO$41:BO42)*(1-'DADOS DOS EMPREENDIMENTOS'!#REF!-'DADOS DOS EMPREENDIMENTOS'!#REF!)+'DADOS DOS EMPREENDIMENTOS'!#REF!,IF(BM42='DADOS DOS EMPREENDIMENTOS'!BO$12,'DADOS DOS EMPREENDIMENTOS'!#REF!,BO42*(1-'DADOS DOS EMPREENDIMENTOS'!#REF!-'DADOS DOS EMPREENDIMENTOS'!#REF!))))</f>
        <v>#REF!</v>
      </c>
      <c r="BR42" s="52">
        <v>1</v>
      </c>
      <c r="BS42" s="31">
        <v>39965</v>
      </c>
      <c r="BT42" s="9">
        <v>0</v>
      </c>
      <c r="BU42" s="67" t="e">
        <f>IF(BR42&lt;'DADOS DOS EMPREENDIMENTOS'!BT$11,0,IF(BR42='DADOS DOS EMPREENDIMENTOS'!BT$11,SUM(BT$41:BT42)*(1-'DADOS DOS EMPREENDIMENTOS'!#REF!-'DADOS DOS EMPREENDIMENTOS'!#REF!)+'DADOS DOS EMPREENDIMENTOS'!#REF!,IF(BR42='DADOS DOS EMPREENDIMENTOS'!BT$12,'DADOS DOS EMPREENDIMENTOS'!#REF!,BT42*(1-'DADOS DOS EMPREENDIMENTOS'!#REF!-'DADOS DOS EMPREENDIMENTOS'!#REF!))))</f>
        <v>#REF!</v>
      </c>
      <c r="BW42" s="52">
        <v>1</v>
      </c>
      <c r="BX42" s="31">
        <v>39965</v>
      </c>
      <c r="BY42" s="9">
        <v>0</v>
      </c>
      <c r="BZ42" s="67" t="e">
        <f>IF(BW42&lt;'DADOS DOS EMPREENDIMENTOS'!BY$11,0,IF(BW42='DADOS DOS EMPREENDIMENTOS'!BY$11,SUM(BY$41:BY42)*(1-'DADOS DOS EMPREENDIMENTOS'!#REF!-'DADOS DOS EMPREENDIMENTOS'!#REF!)+'DADOS DOS EMPREENDIMENTOS'!#REF!,IF(BW42='DADOS DOS EMPREENDIMENTOS'!BY$12,'DADOS DOS EMPREENDIMENTOS'!#REF!,BY42*(1-'DADOS DOS EMPREENDIMENTOS'!#REF!-'DADOS DOS EMPREENDIMENTOS'!#REF!))))</f>
        <v>#REF!</v>
      </c>
      <c r="CB42" s="52">
        <v>1</v>
      </c>
      <c r="CC42" s="31">
        <v>39965</v>
      </c>
      <c r="CD42" s="9">
        <v>0</v>
      </c>
      <c r="CE42" s="67" t="e">
        <f>IF(CB42&lt;'DADOS DOS EMPREENDIMENTOS'!CD$11,0,IF(CB42='DADOS DOS EMPREENDIMENTOS'!CD$11,SUM(CD$41:CD42)*(1-'DADOS DOS EMPREENDIMENTOS'!#REF!-'DADOS DOS EMPREENDIMENTOS'!#REF!)+'DADOS DOS EMPREENDIMENTOS'!#REF!,IF(CB42='DADOS DOS EMPREENDIMENTOS'!CD$12,'DADOS DOS EMPREENDIMENTOS'!#REF!,CD42*(1-'DADOS DOS EMPREENDIMENTOS'!#REF!-'DADOS DOS EMPREENDIMENTOS'!#REF!))))</f>
        <v>#REF!</v>
      </c>
      <c r="CG42" s="52"/>
      <c r="CH42" s="31"/>
      <c r="CI42" s="9"/>
      <c r="CJ42" s="67"/>
    </row>
    <row r="43" spans="4:89" ht="12.75" customHeight="1" thickBot="1" x14ac:dyDescent="0.25">
      <c r="O43" s="45">
        <v>28</v>
      </c>
      <c r="P43" s="607" t="s">
        <v>339</v>
      </c>
      <c r="Q43" s="642">
        <f>VLOOKUP(P43,Apoio!C:E,2,0)</f>
        <v>240000</v>
      </c>
      <c r="R43" s="609">
        <v>240000</v>
      </c>
      <c r="S43" s="359">
        <v>5</v>
      </c>
      <c r="T43" s="52">
        <v>2</v>
      </c>
      <c r="U43" s="31"/>
      <c r="V43" s="9"/>
      <c r="W43" s="67"/>
      <c r="Y43" s="52">
        <v>2</v>
      </c>
      <c r="Z43" s="31"/>
      <c r="AA43" s="9"/>
      <c r="AB43" s="67"/>
      <c r="AD43" s="52">
        <v>2</v>
      </c>
      <c r="AE43" s="31">
        <v>39995</v>
      </c>
      <c r="AF43" s="9">
        <v>0</v>
      </c>
      <c r="AG43" s="67" t="e">
        <f>IF(AD43&lt;'DADOS DOS EMPREENDIMENTOS'!AF$11,0,IF(AD43='DADOS DOS EMPREENDIMENTOS'!AF$11,SUM(AF$41:AF43)*(1-'DADOS DOS EMPREENDIMENTOS'!#REF!-'DADOS DOS EMPREENDIMENTOS'!#REF!)+'DADOS DOS EMPREENDIMENTOS'!#REF!,IF(AD43='DADOS DOS EMPREENDIMENTOS'!#REF!,'DADOS DOS EMPREENDIMENTOS'!#REF!,AF43*(1-'DADOS DOS EMPREENDIMENTOS'!#REF!-'DADOS DOS EMPREENDIMENTOS'!#REF!))))</f>
        <v>#REF!</v>
      </c>
      <c r="AI43" s="52">
        <v>2</v>
      </c>
      <c r="AJ43" s="31">
        <v>39995</v>
      </c>
      <c r="AK43" s="9">
        <v>0</v>
      </c>
      <c r="AL43" s="67" t="e">
        <f>IF(AI43&lt;'DADOS DOS EMPREENDIMENTOS'!AK$11,0,IF(AI43='DADOS DOS EMPREENDIMENTOS'!AK$11,SUM(AK$41:AK43)*(1-'DADOS DOS EMPREENDIMENTOS'!#REF!-'DADOS DOS EMPREENDIMENTOS'!#REF!)+'DADOS DOS EMPREENDIMENTOS'!#REF!,IF(AI43='DADOS DOS EMPREENDIMENTOS'!#REF!,'DADOS DOS EMPREENDIMENTOS'!#REF!,AK43*(1-'DADOS DOS EMPREENDIMENTOS'!#REF!-'DADOS DOS EMPREENDIMENTOS'!#REF!))))</f>
        <v>#REF!</v>
      </c>
      <c r="AN43" s="52">
        <v>2</v>
      </c>
      <c r="AO43" s="31">
        <v>39995</v>
      </c>
      <c r="AP43" s="9">
        <v>0</v>
      </c>
      <c r="AQ43" s="67" t="e">
        <f>IF(AN43&lt;'DADOS DOS EMPREENDIMENTOS'!AP$11,0,IF(AN43='DADOS DOS EMPREENDIMENTOS'!AP$11,SUM(AP$41:AP43)*(1-'DADOS DOS EMPREENDIMENTOS'!#REF!-'DADOS DOS EMPREENDIMENTOS'!#REF!)+'DADOS DOS EMPREENDIMENTOS'!#REF!,IF(AN43='DADOS DOS EMPREENDIMENTOS'!#REF!,'DADOS DOS EMPREENDIMENTOS'!#REF!,AP43*(1-'DADOS DOS EMPREENDIMENTOS'!#REF!-'DADOS DOS EMPREENDIMENTOS'!#REF!))))</f>
        <v>#REF!</v>
      </c>
      <c r="AS43" s="52">
        <v>2</v>
      </c>
      <c r="AT43" s="31">
        <v>39995</v>
      </c>
      <c r="AU43" s="9">
        <v>0</v>
      </c>
      <c r="AV43" s="67" t="e">
        <f>IF(AS43&lt;'DADOS DOS EMPREENDIMENTOS'!AU$11,0,IF(AS43='DADOS DOS EMPREENDIMENTOS'!AU$11,SUM(AU$41:AU43)*(1-'DADOS DOS EMPREENDIMENTOS'!#REF!-'DADOS DOS EMPREENDIMENTOS'!#REF!)+'DADOS DOS EMPREENDIMENTOS'!#REF!,IF(AS43='DADOS DOS EMPREENDIMENTOS'!#REF!,'DADOS DOS EMPREENDIMENTOS'!#REF!,AU43*(1-'DADOS DOS EMPREENDIMENTOS'!#REF!-'DADOS DOS EMPREENDIMENTOS'!#REF!))))</f>
        <v>#REF!</v>
      </c>
      <c r="AX43" s="52">
        <v>2</v>
      </c>
      <c r="AY43" s="31">
        <v>39995</v>
      </c>
      <c r="AZ43" s="9">
        <v>0</v>
      </c>
      <c r="BA43" s="67" t="e">
        <f>IF(AX43&lt;'DADOS DOS EMPREENDIMENTOS'!AZ$11,0,IF(AX43='DADOS DOS EMPREENDIMENTOS'!AZ$11,SUM(AZ$41:AZ43)*(1-'DADOS DOS EMPREENDIMENTOS'!#REF!-'DADOS DOS EMPREENDIMENTOS'!#REF!)+'DADOS DOS EMPREENDIMENTOS'!#REF!,IF(AX43='DADOS DOS EMPREENDIMENTOS'!#REF!,'DADOS DOS EMPREENDIMENTOS'!#REF!,AZ43*(1-'DADOS DOS EMPREENDIMENTOS'!#REF!-'DADOS DOS EMPREENDIMENTOS'!#REF!))))</f>
        <v>#REF!</v>
      </c>
      <c r="BC43" s="52">
        <v>2</v>
      </c>
      <c r="BD43" s="31">
        <v>39995</v>
      </c>
      <c r="BE43" s="9">
        <v>0</v>
      </c>
      <c r="BF43" s="67" t="e">
        <f>IF(BC43&lt;'DADOS DOS EMPREENDIMENTOS'!BE$11,0,IF(BC43='DADOS DOS EMPREENDIMENTOS'!BE$11,SUM(BE$41:BE43)*(1-'DADOS DOS EMPREENDIMENTOS'!#REF!-'DADOS DOS EMPREENDIMENTOS'!#REF!)+'DADOS DOS EMPREENDIMENTOS'!#REF!,IF(BC43='DADOS DOS EMPREENDIMENTOS'!#REF!,'DADOS DOS EMPREENDIMENTOS'!#REF!,BE43*(1-'DADOS DOS EMPREENDIMENTOS'!#REF!-'DADOS DOS EMPREENDIMENTOS'!#REF!))))</f>
        <v>#REF!</v>
      </c>
      <c r="BH43" s="52">
        <v>2</v>
      </c>
      <c r="BI43" s="31">
        <v>39995</v>
      </c>
      <c r="BJ43" s="9">
        <v>0</v>
      </c>
      <c r="BK43" s="67" t="e">
        <f>IF(BH43&lt;'DADOS DOS EMPREENDIMENTOS'!BJ$11,0,IF(BH43='DADOS DOS EMPREENDIMENTOS'!BJ$11,SUM(BJ$41:BJ43)*(1-'DADOS DOS EMPREENDIMENTOS'!#REF!-'DADOS DOS EMPREENDIMENTOS'!#REF!)+'DADOS DOS EMPREENDIMENTOS'!#REF!,IF(BH43='DADOS DOS EMPREENDIMENTOS'!#REF!,'DADOS DOS EMPREENDIMENTOS'!#REF!,BJ43*(1-'DADOS DOS EMPREENDIMENTOS'!#REF!-'DADOS DOS EMPREENDIMENTOS'!#REF!))))</f>
        <v>#REF!</v>
      </c>
      <c r="BM43" s="52">
        <v>2</v>
      </c>
      <c r="BN43" s="31">
        <v>39995</v>
      </c>
      <c r="BO43" s="9">
        <v>0</v>
      </c>
      <c r="BP43" s="67" t="e">
        <f>IF(BM43&lt;'DADOS DOS EMPREENDIMENTOS'!BO$11,0,IF(BM43='DADOS DOS EMPREENDIMENTOS'!BO$11,SUM(BO$41:BO43)*(1-'DADOS DOS EMPREENDIMENTOS'!#REF!-'DADOS DOS EMPREENDIMENTOS'!#REF!)+'DADOS DOS EMPREENDIMENTOS'!#REF!,IF(BM43='DADOS DOS EMPREENDIMENTOS'!BO$12,'DADOS DOS EMPREENDIMENTOS'!#REF!,BO43*(1-'DADOS DOS EMPREENDIMENTOS'!#REF!-'DADOS DOS EMPREENDIMENTOS'!#REF!))))</f>
        <v>#REF!</v>
      </c>
      <c r="BR43" s="52">
        <v>2</v>
      </c>
      <c r="BS43" s="31">
        <v>39995</v>
      </c>
      <c r="BT43" s="9">
        <v>0</v>
      </c>
      <c r="BU43" s="67" t="e">
        <f>IF(BR43&lt;'DADOS DOS EMPREENDIMENTOS'!BT$11,0,IF(BR43='DADOS DOS EMPREENDIMENTOS'!BT$11,SUM(BT$41:BT43)*(1-'DADOS DOS EMPREENDIMENTOS'!#REF!-'DADOS DOS EMPREENDIMENTOS'!#REF!)+'DADOS DOS EMPREENDIMENTOS'!#REF!,IF(BR43='DADOS DOS EMPREENDIMENTOS'!BT$12,'DADOS DOS EMPREENDIMENTOS'!#REF!,BT43*(1-'DADOS DOS EMPREENDIMENTOS'!#REF!-'DADOS DOS EMPREENDIMENTOS'!#REF!))))</f>
        <v>#REF!</v>
      </c>
      <c r="BW43" s="52">
        <v>2</v>
      </c>
      <c r="BX43" s="31">
        <v>39995</v>
      </c>
      <c r="BY43" s="9">
        <v>0</v>
      </c>
      <c r="BZ43" s="67" t="e">
        <f>IF(BW43&lt;'DADOS DOS EMPREENDIMENTOS'!BY$11,0,IF(BW43='DADOS DOS EMPREENDIMENTOS'!BY$11,SUM(BY$41:BY43)*(1-'DADOS DOS EMPREENDIMENTOS'!#REF!-'DADOS DOS EMPREENDIMENTOS'!#REF!)+'DADOS DOS EMPREENDIMENTOS'!#REF!,IF(BW43='DADOS DOS EMPREENDIMENTOS'!BY$12,'DADOS DOS EMPREENDIMENTOS'!#REF!,BY43*(1-'DADOS DOS EMPREENDIMENTOS'!#REF!-'DADOS DOS EMPREENDIMENTOS'!#REF!))))</f>
        <v>#REF!</v>
      </c>
      <c r="CB43" s="52">
        <v>2</v>
      </c>
      <c r="CC43" s="31">
        <v>39995</v>
      </c>
      <c r="CD43" s="9">
        <v>0</v>
      </c>
      <c r="CE43" s="67" t="e">
        <f>IF(CB43&lt;'DADOS DOS EMPREENDIMENTOS'!CD$11,0,IF(CB43='DADOS DOS EMPREENDIMENTOS'!CD$11,SUM(CD$41:CD43)*(1-'DADOS DOS EMPREENDIMENTOS'!#REF!-'DADOS DOS EMPREENDIMENTOS'!#REF!)+'DADOS DOS EMPREENDIMENTOS'!#REF!,IF(CB43='DADOS DOS EMPREENDIMENTOS'!CD$12,'DADOS DOS EMPREENDIMENTOS'!#REF!,CD43*(1-'DADOS DOS EMPREENDIMENTOS'!#REF!-'DADOS DOS EMPREENDIMENTOS'!#REF!))))</f>
        <v>#REF!</v>
      </c>
      <c r="CG43" s="52"/>
      <c r="CH43" s="31"/>
      <c r="CI43" s="9"/>
      <c r="CJ43" s="67"/>
    </row>
    <row r="44" spans="4:89" ht="12.75" customHeight="1" thickBot="1" x14ac:dyDescent="0.25">
      <c r="O44" s="43">
        <v>29</v>
      </c>
      <c r="P44" s="607" t="s">
        <v>340</v>
      </c>
      <c r="Q44" s="642">
        <f>VLOOKUP(P44,Apoio!C:E,2,0)</f>
        <v>240000</v>
      </c>
      <c r="R44" s="609">
        <v>240000</v>
      </c>
      <c r="S44" s="359">
        <v>5</v>
      </c>
      <c r="T44" s="52">
        <v>3</v>
      </c>
      <c r="U44" s="31"/>
      <c r="V44" s="9"/>
      <c r="W44" s="67"/>
      <c r="Y44" s="52">
        <v>3</v>
      </c>
      <c r="Z44" s="31"/>
      <c r="AA44" s="9"/>
      <c r="AB44" s="67"/>
      <c r="AD44" s="52">
        <v>3</v>
      </c>
      <c r="AE44" s="31">
        <v>40026</v>
      </c>
      <c r="AF44" s="9">
        <v>0</v>
      </c>
      <c r="AG44" s="67" t="e">
        <f>IF(AD44&lt;'DADOS DOS EMPREENDIMENTOS'!AF$11,0,IF(AD44='DADOS DOS EMPREENDIMENTOS'!AF$11,SUM(AF$41:AF44)*(1-'DADOS DOS EMPREENDIMENTOS'!#REF!-'DADOS DOS EMPREENDIMENTOS'!#REF!)+'DADOS DOS EMPREENDIMENTOS'!#REF!,IF(AD44='DADOS DOS EMPREENDIMENTOS'!#REF!,'DADOS DOS EMPREENDIMENTOS'!#REF!,AF44*(1-'DADOS DOS EMPREENDIMENTOS'!#REF!-'DADOS DOS EMPREENDIMENTOS'!#REF!))))</f>
        <v>#REF!</v>
      </c>
      <c r="AI44" s="52">
        <v>3</v>
      </c>
      <c r="AJ44" s="31">
        <v>40026</v>
      </c>
      <c r="AK44" s="9">
        <v>0</v>
      </c>
      <c r="AL44" s="67" t="e">
        <f>IF(AI44&lt;'DADOS DOS EMPREENDIMENTOS'!AK$11,0,IF(AI44='DADOS DOS EMPREENDIMENTOS'!AK$11,SUM(AK$41:AK44)*(1-'DADOS DOS EMPREENDIMENTOS'!#REF!-'DADOS DOS EMPREENDIMENTOS'!#REF!)+'DADOS DOS EMPREENDIMENTOS'!#REF!,IF(AI44='DADOS DOS EMPREENDIMENTOS'!#REF!,'DADOS DOS EMPREENDIMENTOS'!#REF!,AK44*(1-'DADOS DOS EMPREENDIMENTOS'!#REF!-'DADOS DOS EMPREENDIMENTOS'!#REF!))))</f>
        <v>#REF!</v>
      </c>
      <c r="AN44" s="52">
        <v>3</v>
      </c>
      <c r="AO44" s="31">
        <v>40026</v>
      </c>
      <c r="AP44" s="9">
        <v>0</v>
      </c>
      <c r="AQ44" s="67" t="e">
        <f>IF(AN44&lt;'DADOS DOS EMPREENDIMENTOS'!AP$11,0,IF(AN44='DADOS DOS EMPREENDIMENTOS'!AP$11,SUM(AP$41:AP44)*(1-'DADOS DOS EMPREENDIMENTOS'!#REF!-'DADOS DOS EMPREENDIMENTOS'!#REF!)+'DADOS DOS EMPREENDIMENTOS'!#REF!,IF(AN44='DADOS DOS EMPREENDIMENTOS'!#REF!,'DADOS DOS EMPREENDIMENTOS'!#REF!,AP44*(1-'DADOS DOS EMPREENDIMENTOS'!#REF!-'DADOS DOS EMPREENDIMENTOS'!#REF!))))</f>
        <v>#REF!</v>
      </c>
      <c r="AS44" s="52">
        <v>3</v>
      </c>
      <c r="AT44" s="31">
        <v>40026</v>
      </c>
      <c r="AU44" s="9">
        <v>0</v>
      </c>
      <c r="AV44" s="67" t="e">
        <f>IF(AS44&lt;'DADOS DOS EMPREENDIMENTOS'!AU$11,0,IF(AS44='DADOS DOS EMPREENDIMENTOS'!AU$11,SUM(AU$41:AU44)*(1-'DADOS DOS EMPREENDIMENTOS'!#REF!-'DADOS DOS EMPREENDIMENTOS'!#REF!)+'DADOS DOS EMPREENDIMENTOS'!#REF!,IF(AS44='DADOS DOS EMPREENDIMENTOS'!#REF!,'DADOS DOS EMPREENDIMENTOS'!#REF!,AU44*(1-'DADOS DOS EMPREENDIMENTOS'!#REF!-'DADOS DOS EMPREENDIMENTOS'!#REF!))))</f>
        <v>#REF!</v>
      </c>
      <c r="AX44" s="52">
        <v>3</v>
      </c>
      <c r="AY44" s="31">
        <v>40026</v>
      </c>
      <c r="AZ44" s="9">
        <v>0</v>
      </c>
      <c r="BA44" s="67" t="e">
        <f>IF(AX44&lt;'DADOS DOS EMPREENDIMENTOS'!AZ$11,0,IF(AX44='DADOS DOS EMPREENDIMENTOS'!AZ$11,SUM(AZ$41:AZ44)*(1-'DADOS DOS EMPREENDIMENTOS'!#REF!-'DADOS DOS EMPREENDIMENTOS'!#REF!)+'DADOS DOS EMPREENDIMENTOS'!#REF!,IF(AX44='DADOS DOS EMPREENDIMENTOS'!#REF!,'DADOS DOS EMPREENDIMENTOS'!#REF!,AZ44*(1-'DADOS DOS EMPREENDIMENTOS'!#REF!-'DADOS DOS EMPREENDIMENTOS'!#REF!))))</f>
        <v>#REF!</v>
      </c>
      <c r="BC44" s="52">
        <v>3</v>
      </c>
      <c r="BD44" s="31">
        <v>40026</v>
      </c>
      <c r="BE44" s="9">
        <v>0</v>
      </c>
      <c r="BF44" s="67" t="e">
        <f>IF(BC44&lt;'DADOS DOS EMPREENDIMENTOS'!BE$11,0,IF(BC44='DADOS DOS EMPREENDIMENTOS'!BE$11,SUM(BE$41:BE44)*(1-'DADOS DOS EMPREENDIMENTOS'!#REF!-'DADOS DOS EMPREENDIMENTOS'!#REF!)+'DADOS DOS EMPREENDIMENTOS'!#REF!,IF(BC44='DADOS DOS EMPREENDIMENTOS'!#REF!,'DADOS DOS EMPREENDIMENTOS'!#REF!,BE44*(1-'DADOS DOS EMPREENDIMENTOS'!#REF!-'DADOS DOS EMPREENDIMENTOS'!#REF!))))</f>
        <v>#REF!</v>
      </c>
      <c r="BH44" s="52">
        <v>3</v>
      </c>
      <c r="BI44" s="31">
        <v>40026</v>
      </c>
      <c r="BJ44" s="9">
        <v>0</v>
      </c>
      <c r="BK44" s="67" t="e">
        <f>IF(BH44&lt;'DADOS DOS EMPREENDIMENTOS'!BJ$11,0,IF(BH44='DADOS DOS EMPREENDIMENTOS'!BJ$11,SUM(BJ$41:BJ44)*(1-'DADOS DOS EMPREENDIMENTOS'!#REF!-'DADOS DOS EMPREENDIMENTOS'!#REF!)+'DADOS DOS EMPREENDIMENTOS'!#REF!,IF(BH44='DADOS DOS EMPREENDIMENTOS'!#REF!,'DADOS DOS EMPREENDIMENTOS'!#REF!,BJ44*(1-'DADOS DOS EMPREENDIMENTOS'!#REF!-'DADOS DOS EMPREENDIMENTOS'!#REF!))))</f>
        <v>#REF!</v>
      </c>
      <c r="BM44" s="52">
        <v>3</v>
      </c>
      <c r="BN44" s="31">
        <v>40026</v>
      </c>
      <c r="BO44" s="9">
        <v>0</v>
      </c>
      <c r="BP44" s="67" t="e">
        <f>IF(BM44&lt;'DADOS DOS EMPREENDIMENTOS'!BO$11,0,IF(BM44='DADOS DOS EMPREENDIMENTOS'!BO$11,SUM(BO$41:BO44)*(1-'DADOS DOS EMPREENDIMENTOS'!#REF!-'DADOS DOS EMPREENDIMENTOS'!#REF!)+'DADOS DOS EMPREENDIMENTOS'!#REF!,IF(BM44='DADOS DOS EMPREENDIMENTOS'!BO$12,'DADOS DOS EMPREENDIMENTOS'!#REF!,BO44*(1-'DADOS DOS EMPREENDIMENTOS'!#REF!-'DADOS DOS EMPREENDIMENTOS'!#REF!))))</f>
        <v>#REF!</v>
      </c>
      <c r="BR44" s="52">
        <v>3</v>
      </c>
      <c r="BS44" s="31">
        <v>40026</v>
      </c>
      <c r="BT44" s="9">
        <v>0</v>
      </c>
      <c r="BU44" s="67" t="e">
        <f>IF(BR44&lt;'DADOS DOS EMPREENDIMENTOS'!BT$11,0,IF(BR44='DADOS DOS EMPREENDIMENTOS'!BT$11,SUM(BT$41:BT44)*(1-'DADOS DOS EMPREENDIMENTOS'!#REF!-'DADOS DOS EMPREENDIMENTOS'!#REF!)+'DADOS DOS EMPREENDIMENTOS'!#REF!,IF(BR44='DADOS DOS EMPREENDIMENTOS'!BT$12,'DADOS DOS EMPREENDIMENTOS'!#REF!,BT44*(1-'DADOS DOS EMPREENDIMENTOS'!#REF!-'DADOS DOS EMPREENDIMENTOS'!#REF!))))</f>
        <v>#REF!</v>
      </c>
      <c r="BW44" s="52">
        <v>3</v>
      </c>
      <c r="BX44" s="31">
        <v>40026</v>
      </c>
      <c r="BY44" s="9">
        <v>0</v>
      </c>
      <c r="BZ44" s="67" t="e">
        <f>IF(BW44&lt;'DADOS DOS EMPREENDIMENTOS'!BY$11,0,IF(BW44='DADOS DOS EMPREENDIMENTOS'!BY$11,SUM(BY$41:BY44)*(1-'DADOS DOS EMPREENDIMENTOS'!#REF!-'DADOS DOS EMPREENDIMENTOS'!#REF!)+'DADOS DOS EMPREENDIMENTOS'!#REF!,IF(BW44='DADOS DOS EMPREENDIMENTOS'!BY$12,'DADOS DOS EMPREENDIMENTOS'!#REF!,BY44*(1-'DADOS DOS EMPREENDIMENTOS'!#REF!-'DADOS DOS EMPREENDIMENTOS'!#REF!))))</f>
        <v>#REF!</v>
      </c>
      <c r="CB44" s="52">
        <v>3</v>
      </c>
      <c r="CC44" s="31">
        <v>40026</v>
      </c>
      <c r="CD44" s="9">
        <v>0</v>
      </c>
      <c r="CE44" s="67" t="e">
        <f>IF(CB44&lt;'DADOS DOS EMPREENDIMENTOS'!CD$11,0,IF(CB44='DADOS DOS EMPREENDIMENTOS'!CD$11,SUM(CD$41:CD44)*(1-'DADOS DOS EMPREENDIMENTOS'!#REF!-'DADOS DOS EMPREENDIMENTOS'!#REF!)+'DADOS DOS EMPREENDIMENTOS'!#REF!,IF(CB44='DADOS DOS EMPREENDIMENTOS'!CD$12,'DADOS DOS EMPREENDIMENTOS'!#REF!,CD44*(1-'DADOS DOS EMPREENDIMENTOS'!#REF!-'DADOS DOS EMPREENDIMENTOS'!#REF!))))</f>
        <v>#REF!</v>
      </c>
      <c r="CG44" s="52"/>
      <c r="CH44" s="31"/>
      <c r="CI44" s="9"/>
      <c r="CJ44" s="67"/>
    </row>
    <row r="45" spans="4:89" ht="12.75" customHeight="1" thickBot="1" x14ac:dyDescent="0.25">
      <c r="O45" s="45">
        <v>30</v>
      </c>
      <c r="P45" s="607" t="s">
        <v>341</v>
      </c>
      <c r="Q45" s="642">
        <f>VLOOKUP(P45,Apoio!C:E,2,0)</f>
        <v>240000</v>
      </c>
      <c r="R45" s="609">
        <v>240000</v>
      </c>
      <c r="S45" s="359">
        <v>5</v>
      </c>
      <c r="T45" s="52">
        <v>4</v>
      </c>
      <c r="U45" s="31"/>
      <c r="V45" s="9"/>
      <c r="W45" s="67"/>
      <c r="Y45" s="52">
        <v>4</v>
      </c>
      <c r="Z45" s="31"/>
      <c r="AA45" s="9"/>
      <c r="AB45" s="67"/>
      <c r="AD45" s="52">
        <v>4</v>
      </c>
      <c r="AE45" s="31">
        <v>40057</v>
      </c>
      <c r="AF45" s="9">
        <v>0</v>
      </c>
      <c r="AG45" s="67" t="e">
        <f>IF(AD45&lt;'DADOS DOS EMPREENDIMENTOS'!AF$11,0,IF(AD45='DADOS DOS EMPREENDIMENTOS'!AF$11,SUM(AF$41:AF45)*(1-'DADOS DOS EMPREENDIMENTOS'!#REF!-'DADOS DOS EMPREENDIMENTOS'!#REF!)+'DADOS DOS EMPREENDIMENTOS'!#REF!,IF(AD45='DADOS DOS EMPREENDIMENTOS'!#REF!,'DADOS DOS EMPREENDIMENTOS'!#REF!,AF45*(1-'DADOS DOS EMPREENDIMENTOS'!#REF!-'DADOS DOS EMPREENDIMENTOS'!#REF!))))</f>
        <v>#REF!</v>
      </c>
      <c r="AI45" s="52">
        <v>4</v>
      </c>
      <c r="AJ45" s="31">
        <v>40057</v>
      </c>
      <c r="AK45" s="9">
        <v>0</v>
      </c>
      <c r="AL45" s="67" t="e">
        <f>IF(AI45&lt;'DADOS DOS EMPREENDIMENTOS'!AK$11,0,IF(AI45='DADOS DOS EMPREENDIMENTOS'!AK$11,SUM(AK$41:AK45)*(1-'DADOS DOS EMPREENDIMENTOS'!#REF!-'DADOS DOS EMPREENDIMENTOS'!#REF!)+'DADOS DOS EMPREENDIMENTOS'!#REF!,IF(AI45='DADOS DOS EMPREENDIMENTOS'!#REF!,'DADOS DOS EMPREENDIMENTOS'!#REF!,AK45*(1-'DADOS DOS EMPREENDIMENTOS'!#REF!-'DADOS DOS EMPREENDIMENTOS'!#REF!))))</f>
        <v>#REF!</v>
      </c>
      <c r="AN45" s="52">
        <v>4</v>
      </c>
      <c r="AO45" s="31">
        <v>40057</v>
      </c>
      <c r="AP45" s="9">
        <v>0</v>
      </c>
      <c r="AQ45" s="67" t="e">
        <f>IF(AN45&lt;'DADOS DOS EMPREENDIMENTOS'!AP$11,0,IF(AN45='DADOS DOS EMPREENDIMENTOS'!AP$11,SUM(AP$41:AP45)*(1-'DADOS DOS EMPREENDIMENTOS'!#REF!-'DADOS DOS EMPREENDIMENTOS'!#REF!)+'DADOS DOS EMPREENDIMENTOS'!#REF!,IF(AN45='DADOS DOS EMPREENDIMENTOS'!#REF!,'DADOS DOS EMPREENDIMENTOS'!#REF!,AP45*(1-'DADOS DOS EMPREENDIMENTOS'!#REF!-'DADOS DOS EMPREENDIMENTOS'!#REF!))))</f>
        <v>#REF!</v>
      </c>
      <c r="AS45" s="52">
        <v>4</v>
      </c>
      <c r="AT45" s="31">
        <v>40057</v>
      </c>
      <c r="AU45" s="9">
        <v>0</v>
      </c>
      <c r="AV45" s="67" t="e">
        <f>IF(AS45&lt;'DADOS DOS EMPREENDIMENTOS'!AU$11,0,IF(AS45='DADOS DOS EMPREENDIMENTOS'!AU$11,SUM(AU$41:AU45)*(1-'DADOS DOS EMPREENDIMENTOS'!#REF!-'DADOS DOS EMPREENDIMENTOS'!#REF!)+'DADOS DOS EMPREENDIMENTOS'!#REF!,IF(AS45='DADOS DOS EMPREENDIMENTOS'!#REF!,'DADOS DOS EMPREENDIMENTOS'!#REF!,AU45*(1-'DADOS DOS EMPREENDIMENTOS'!#REF!-'DADOS DOS EMPREENDIMENTOS'!#REF!))))</f>
        <v>#REF!</v>
      </c>
      <c r="AX45" s="52">
        <v>4</v>
      </c>
      <c r="AY45" s="31">
        <v>40057</v>
      </c>
      <c r="AZ45" s="9">
        <v>0</v>
      </c>
      <c r="BA45" s="67" t="e">
        <f>IF(AX45&lt;'DADOS DOS EMPREENDIMENTOS'!AZ$11,0,IF(AX45='DADOS DOS EMPREENDIMENTOS'!AZ$11,SUM(AZ$41:AZ45)*(1-'DADOS DOS EMPREENDIMENTOS'!#REF!-'DADOS DOS EMPREENDIMENTOS'!#REF!)+'DADOS DOS EMPREENDIMENTOS'!#REF!,IF(AX45='DADOS DOS EMPREENDIMENTOS'!#REF!,'DADOS DOS EMPREENDIMENTOS'!#REF!,AZ45*(1-'DADOS DOS EMPREENDIMENTOS'!#REF!-'DADOS DOS EMPREENDIMENTOS'!#REF!))))</f>
        <v>#REF!</v>
      </c>
      <c r="BC45" s="52">
        <v>4</v>
      </c>
      <c r="BD45" s="31">
        <v>40057</v>
      </c>
      <c r="BE45" s="9">
        <v>0</v>
      </c>
      <c r="BF45" s="67" t="e">
        <f>IF(BC45&lt;'DADOS DOS EMPREENDIMENTOS'!BE$11,0,IF(BC45='DADOS DOS EMPREENDIMENTOS'!BE$11,SUM(BE$41:BE45)*(1-'DADOS DOS EMPREENDIMENTOS'!#REF!-'DADOS DOS EMPREENDIMENTOS'!#REF!)+'DADOS DOS EMPREENDIMENTOS'!#REF!,IF(BC45='DADOS DOS EMPREENDIMENTOS'!#REF!,'DADOS DOS EMPREENDIMENTOS'!#REF!,BE45*(1-'DADOS DOS EMPREENDIMENTOS'!#REF!-'DADOS DOS EMPREENDIMENTOS'!#REF!))))</f>
        <v>#REF!</v>
      </c>
      <c r="BH45" s="52">
        <v>4</v>
      </c>
      <c r="BI45" s="31">
        <v>40057</v>
      </c>
      <c r="BJ45" s="9">
        <v>0</v>
      </c>
      <c r="BK45" s="67" t="e">
        <f>IF(BH45&lt;'DADOS DOS EMPREENDIMENTOS'!BJ$11,0,IF(BH45='DADOS DOS EMPREENDIMENTOS'!BJ$11,SUM(BJ$41:BJ45)*(1-'DADOS DOS EMPREENDIMENTOS'!#REF!-'DADOS DOS EMPREENDIMENTOS'!#REF!)+'DADOS DOS EMPREENDIMENTOS'!#REF!,IF(BH45='DADOS DOS EMPREENDIMENTOS'!#REF!,'DADOS DOS EMPREENDIMENTOS'!#REF!,BJ45*(1-'DADOS DOS EMPREENDIMENTOS'!#REF!-'DADOS DOS EMPREENDIMENTOS'!#REF!))))</f>
        <v>#REF!</v>
      </c>
      <c r="BM45" s="52">
        <v>4</v>
      </c>
      <c r="BN45" s="31">
        <v>40057</v>
      </c>
      <c r="BO45" s="9">
        <v>0</v>
      </c>
      <c r="BP45" s="67" t="e">
        <f>IF(BM45&lt;'DADOS DOS EMPREENDIMENTOS'!BO$11,0,IF(BM45='DADOS DOS EMPREENDIMENTOS'!BO$11,SUM(BO$41:BO45)*(1-'DADOS DOS EMPREENDIMENTOS'!#REF!-'DADOS DOS EMPREENDIMENTOS'!#REF!)+'DADOS DOS EMPREENDIMENTOS'!#REF!,IF(BM45='DADOS DOS EMPREENDIMENTOS'!BO$12,'DADOS DOS EMPREENDIMENTOS'!#REF!,BO45*(1-'DADOS DOS EMPREENDIMENTOS'!#REF!-'DADOS DOS EMPREENDIMENTOS'!#REF!))))</f>
        <v>#REF!</v>
      </c>
      <c r="BR45" s="52">
        <v>4</v>
      </c>
      <c r="BS45" s="31">
        <v>40057</v>
      </c>
      <c r="BT45" s="9">
        <v>0</v>
      </c>
      <c r="BU45" s="67" t="e">
        <f>IF(BR45&lt;'DADOS DOS EMPREENDIMENTOS'!BT$11,0,IF(BR45='DADOS DOS EMPREENDIMENTOS'!BT$11,SUM(BT$41:BT45)*(1-'DADOS DOS EMPREENDIMENTOS'!#REF!-'DADOS DOS EMPREENDIMENTOS'!#REF!)+'DADOS DOS EMPREENDIMENTOS'!#REF!,IF(BR45='DADOS DOS EMPREENDIMENTOS'!BT$12,'DADOS DOS EMPREENDIMENTOS'!#REF!,BT45*(1-'DADOS DOS EMPREENDIMENTOS'!#REF!-'DADOS DOS EMPREENDIMENTOS'!#REF!))))</f>
        <v>#REF!</v>
      </c>
      <c r="BW45" s="52">
        <v>4</v>
      </c>
      <c r="BX45" s="31">
        <v>40057</v>
      </c>
      <c r="BY45" s="9">
        <v>0</v>
      </c>
      <c r="BZ45" s="67" t="e">
        <f>IF(BW45&lt;'DADOS DOS EMPREENDIMENTOS'!BY$11,0,IF(BW45='DADOS DOS EMPREENDIMENTOS'!BY$11,SUM(BY$41:BY45)*(1-'DADOS DOS EMPREENDIMENTOS'!#REF!-'DADOS DOS EMPREENDIMENTOS'!#REF!)+'DADOS DOS EMPREENDIMENTOS'!#REF!,IF(BW45='DADOS DOS EMPREENDIMENTOS'!BY$12,'DADOS DOS EMPREENDIMENTOS'!#REF!,BY45*(1-'DADOS DOS EMPREENDIMENTOS'!#REF!-'DADOS DOS EMPREENDIMENTOS'!#REF!))))</f>
        <v>#REF!</v>
      </c>
      <c r="CB45" s="52">
        <v>4</v>
      </c>
      <c r="CC45" s="31">
        <v>40057</v>
      </c>
      <c r="CD45" s="9">
        <v>0</v>
      </c>
      <c r="CE45" s="67" t="e">
        <f>IF(CB45&lt;'DADOS DOS EMPREENDIMENTOS'!CD$11,0,IF(CB45='DADOS DOS EMPREENDIMENTOS'!CD$11,SUM(CD$41:CD45)*(1-'DADOS DOS EMPREENDIMENTOS'!#REF!-'DADOS DOS EMPREENDIMENTOS'!#REF!)+'DADOS DOS EMPREENDIMENTOS'!#REF!,IF(CB45='DADOS DOS EMPREENDIMENTOS'!CD$12,'DADOS DOS EMPREENDIMENTOS'!#REF!,CD45*(1-'DADOS DOS EMPREENDIMENTOS'!#REF!-'DADOS DOS EMPREENDIMENTOS'!#REF!))))</f>
        <v>#REF!</v>
      </c>
      <c r="CG45" s="52"/>
      <c r="CH45" s="31"/>
      <c r="CI45" s="9"/>
      <c r="CJ45" s="67"/>
    </row>
    <row r="46" spans="4:89" ht="12.75" customHeight="1" thickBot="1" x14ac:dyDescent="0.25">
      <c r="O46" s="43">
        <v>31</v>
      </c>
      <c r="P46" s="607" t="s">
        <v>342</v>
      </c>
      <c r="Q46" s="642">
        <f>VLOOKUP(P46,Apoio!C:E,2,0)</f>
        <v>240000</v>
      </c>
      <c r="R46" s="609">
        <v>240000</v>
      </c>
      <c r="S46" s="359">
        <v>5</v>
      </c>
      <c r="T46" s="52">
        <v>5</v>
      </c>
      <c r="U46" s="31"/>
      <c r="V46" s="9"/>
      <c r="W46" s="67"/>
      <c r="Y46" s="52">
        <v>5</v>
      </c>
      <c r="Z46" s="31"/>
      <c r="AA46" s="9"/>
      <c r="AB46" s="67"/>
      <c r="AD46" s="52">
        <v>5</v>
      </c>
      <c r="AE46" s="31">
        <v>40087</v>
      </c>
      <c r="AF46" s="9">
        <v>0</v>
      </c>
      <c r="AG46" s="67" t="e">
        <f>IF(AD46&lt;'DADOS DOS EMPREENDIMENTOS'!AF$11,0,IF(AD46='DADOS DOS EMPREENDIMENTOS'!AF$11,SUM(AF$41:AF46)*(1-'DADOS DOS EMPREENDIMENTOS'!#REF!-'DADOS DOS EMPREENDIMENTOS'!#REF!)+'DADOS DOS EMPREENDIMENTOS'!#REF!,IF(AD46='DADOS DOS EMPREENDIMENTOS'!#REF!,'DADOS DOS EMPREENDIMENTOS'!#REF!,AF46*(1-'DADOS DOS EMPREENDIMENTOS'!#REF!-'DADOS DOS EMPREENDIMENTOS'!#REF!))))</f>
        <v>#REF!</v>
      </c>
      <c r="AI46" s="52">
        <v>5</v>
      </c>
      <c r="AJ46" s="31">
        <v>40087</v>
      </c>
      <c r="AK46" s="9">
        <v>0</v>
      </c>
      <c r="AL46" s="67" t="e">
        <f>IF(AI46&lt;'DADOS DOS EMPREENDIMENTOS'!AK$11,0,IF(AI46='DADOS DOS EMPREENDIMENTOS'!AK$11,SUM(AK$41:AK46)*(1-'DADOS DOS EMPREENDIMENTOS'!#REF!-'DADOS DOS EMPREENDIMENTOS'!#REF!)+'DADOS DOS EMPREENDIMENTOS'!#REF!,IF(AI46='DADOS DOS EMPREENDIMENTOS'!#REF!,'DADOS DOS EMPREENDIMENTOS'!#REF!,AK46*(1-'DADOS DOS EMPREENDIMENTOS'!#REF!-'DADOS DOS EMPREENDIMENTOS'!#REF!))))</f>
        <v>#REF!</v>
      </c>
      <c r="AN46" s="52">
        <v>5</v>
      </c>
      <c r="AO46" s="31">
        <v>40087</v>
      </c>
      <c r="AP46" s="9">
        <v>0</v>
      </c>
      <c r="AQ46" s="67" t="e">
        <f>IF(AN46&lt;'DADOS DOS EMPREENDIMENTOS'!AP$11,0,IF(AN46='DADOS DOS EMPREENDIMENTOS'!AP$11,SUM(AP$41:AP46)*(1-'DADOS DOS EMPREENDIMENTOS'!#REF!-'DADOS DOS EMPREENDIMENTOS'!#REF!)+'DADOS DOS EMPREENDIMENTOS'!#REF!,IF(AN46='DADOS DOS EMPREENDIMENTOS'!#REF!,'DADOS DOS EMPREENDIMENTOS'!#REF!,AP46*(1-'DADOS DOS EMPREENDIMENTOS'!#REF!-'DADOS DOS EMPREENDIMENTOS'!#REF!))))</f>
        <v>#REF!</v>
      </c>
      <c r="AS46" s="52">
        <v>5</v>
      </c>
      <c r="AT46" s="31">
        <v>40087</v>
      </c>
      <c r="AU46" s="9">
        <v>0</v>
      </c>
      <c r="AV46" s="67" t="e">
        <f>IF(AS46&lt;'DADOS DOS EMPREENDIMENTOS'!AU$11,0,IF(AS46='DADOS DOS EMPREENDIMENTOS'!AU$11,SUM(AU$41:AU46)*(1-'DADOS DOS EMPREENDIMENTOS'!#REF!-'DADOS DOS EMPREENDIMENTOS'!#REF!)+'DADOS DOS EMPREENDIMENTOS'!#REF!,IF(AS46='DADOS DOS EMPREENDIMENTOS'!#REF!,'DADOS DOS EMPREENDIMENTOS'!#REF!,AU46*(1-'DADOS DOS EMPREENDIMENTOS'!#REF!-'DADOS DOS EMPREENDIMENTOS'!#REF!))))</f>
        <v>#REF!</v>
      </c>
      <c r="AX46" s="52">
        <v>5</v>
      </c>
      <c r="AY46" s="31">
        <v>40087</v>
      </c>
      <c r="AZ46" s="9">
        <v>0</v>
      </c>
      <c r="BA46" s="67" t="e">
        <f>IF(AX46&lt;'DADOS DOS EMPREENDIMENTOS'!AZ$11,0,IF(AX46='DADOS DOS EMPREENDIMENTOS'!AZ$11,SUM(AZ$41:AZ46)*(1-'DADOS DOS EMPREENDIMENTOS'!#REF!-'DADOS DOS EMPREENDIMENTOS'!#REF!)+'DADOS DOS EMPREENDIMENTOS'!#REF!,IF(AX46='DADOS DOS EMPREENDIMENTOS'!#REF!,'DADOS DOS EMPREENDIMENTOS'!#REF!,AZ46*(1-'DADOS DOS EMPREENDIMENTOS'!#REF!-'DADOS DOS EMPREENDIMENTOS'!#REF!))))</f>
        <v>#REF!</v>
      </c>
      <c r="BC46" s="52">
        <v>5</v>
      </c>
      <c r="BD46" s="31">
        <v>40087</v>
      </c>
      <c r="BE46" s="9">
        <v>0</v>
      </c>
      <c r="BF46" s="67" t="e">
        <f>IF(BC46&lt;'DADOS DOS EMPREENDIMENTOS'!BE$11,0,IF(BC46='DADOS DOS EMPREENDIMENTOS'!BE$11,SUM(BE$41:BE46)*(1-'DADOS DOS EMPREENDIMENTOS'!#REF!-'DADOS DOS EMPREENDIMENTOS'!#REF!)+'DADOS DOS EMPREENDIMENTOS'!#REF!,IF(BC46='DADOS DOS EMPREENDIMENTOS'!#REF!,'DADOS DOS EMPREENDIMENTOS'!#REF!,BE46*(1-'DADOS DOS EMPREENDIMENTOS'!#REF!-'DADOS DOS EMPREENDIMENTOS'!#REF!))))</f>
        <v>#REF!</v>
      </c>
      <c r="BH46" s="52">
        <v>5</v>
      </c>
      <c r="BI46" s="31">
        <v>40087</v>
      </c>
      <c r="BJ46" s="9">
        <v>0</v>
      </c>
      <c r="BK46" s="67" t="e">
        <f>IF(BH46&lt;'DADOS DOS EMPREENDIMENTOS'!BJ$11,0,IF(BH46='DADOS DOS EMPREENDIMENTOS'!BJ$11,SUM(BJ$41:BJ46)*(1-'DADOS DOS EMPREENDIMENTOS'!#REF!-'DADOS DOS EMPREENDIMENTOS'!#REF!)+'DADOS DOS EMPREENDIMENTOS'!#REF!,IF(BH46='DADOS DOS EMPREENDIMENTOS'!#REF!,'DADOS DOS EMPREENDIMENTOS'!#REF!,BJ46*(1-'DADOS DOS EMPREENDIMENTOS'!#REF!-'DADOS DOS EMPREENDIMENTOS'!#REF!))))</f>
        <v>#REF!</v>
      </c>
      <c r="BM46" s="52">
        <v>5</v>
      </c>
      <c r="BN46" s="31">
        <v>40087</v>
      </c>
      <c r="BO46" s="9">
        <v>0</v>
      </c>
      <c r="BP46" s="67" t="e">
        <f>IF(BM46&lt;'DADOS DOS EMPREENDIMENTOS'!BO$11,0,IF(BM46='DADOS DOS EMPREENDIMENTOS'!BO$11,SUM(BO$41:BO46)*(1-'DADOS DOS EMPREENDIMENTOS'!#REF!-'DADOS DOS EMPREENDIMENTOS'!#REF!)+'DADOS DOS EMPREENDIMENTOS'!#REF!,IF(BM46='DADOS DOS EMPREENDIMENTOS'!BO$12,'DADOS DOS EMPREENDIMENTOS'!#REF!,BO46*(1-'DADOS DOS EMPREENDIMENTOS'!#REF!-'DADOS DOS EMPREENDIMENTOS'!#REF!))))</f>
        <v>#REF!</v>
      </c>
      <c r="BR46" s="52">
        <v>5</v>
      </c>
      <c r="BS46" s="31">
        <v>40087</v>
      </c>
      <c r="BT46" s="9">
        <v>0</v>
      </c>
      <c r="BU46" s="67" t="e">
        <f>IF(BR46&lt;'DADOS DOS EMPREENDIMENTOS'!BT$11,0,IF(BR46='DADOS DOS EMPREENDIMENTOS'!BT$11,SUM(BT$41:BT46)*(1-'DADOS DOS EMPREENDIMENTOS'!#REF!-'DADOS DOS EMPREENDIMENTOS'!#REF!)+'DADOS DOS EMPREENDIMENTOS'!#REF!,IF(BR46='DADOS DOS EMPREENDIMENTOS'!BT$12,'DADOS DOS EMPREENDIMENTOS'!#REF!,BT46*(1-'DADOS DOS EMPREENDIMENTOS'!#REF!-'DADOS DOS EMPREENDIMENTOS'!#REF!))))</f>
        <v>#REF!</v>
      </c>
      <c r="BW46" s="52">
        <v>5</v>
      </c>
      <c r="BX46" s="31">
        <v>40087</v>
      </c>
      <c r="BY46" s="9">
        <v>0</v>
      </c>
      <c r="BZ46" s="67" t="e">
        <f>IF(BW46&lt;'DADOS DOS EMPREENDIMENTOS'!BY$11,0,IF(BW46='DADOS DOS EMPREENDIMENTOS'!BY$11,SUM(BY$41:BY46)*(1-'DADOS DOS EMPREENDIMENTOS'!#REF!-'DADOS DOS EMPREENDIMENTOS'!#REF!)+'DADOS DOS EMPREENDIMENTOS'!#REF!,IF(BW46='DADOS DOS EMPREENDIMENTOS'!BY$12,'DADOS DOS EMPREENDIMENTOS'!#REF!,BY46*(1-'DADOS DOS EMPREENDIMENTOS'!#REF!-'DADOS DOS EMPREENDIMENTOS'!#REF!))))</f>
        <v>#REF!</v>
      </c>
      <c r="CB46" s="52">
        <v>5</v>
      </c>
      <c r="CC46" s="31">
        <v>40087</v>
      </c>
      <c r="CD46" s="9">
        <v>0</v>
      </c>
      <c r="CE46" s="67" t="e">
        <f>IF(CB46&lt;'DADOS DOS EMPREENDIMENTOS'!CD$11,0,IF(CB46='DADOS DOS EMPREENDIMENTOS'!CD$11,SUM(CD$41:CD46)*(1-'DADOS DOS EMPREENDIMENTOS'!#REF!-'DADOS DOS EMPREENDIMENTOS'!#REF!)+'DADOS DOS EMPREENDIMENTOS'!#REF!,IF(CB46='DADOS DOS EMPREENDIMENTOS'!CD$12,'DADOS DOS EMPREENDIMENTOS'!#REF!,CD46*(1-'DADOS DOS EMPREENDIMENTOS'!#REF!-'DADOS DOS EMPREENDIMENTOS'!#REF!))))</f>
        <v>#REF!</v>
      </c>
      <c r="CG46" s="52"/>
      <c r="CH46" s="31"/>
      <c r="CI46" s="9"/>
      <c r="CJ46" s="67"/>
    </row>
    <row r="47" spans="4:89" ht="12.75" customHeight="1" thickBot="1" x14ac:dyDescent="0.25">
      <c r="O47" s="45">
        <v>32</v>
      </c>
      <c r="P47" s="607" t="s">
        <v>343</v>
      </c>
      <c r="Q47" s="642">
        <f>VLOOKUP(P47,Apoio!C:E,2,0)</f>
        <v>240000</v>
      </c>
      <c r="R47" s="609">
        <v>240000</v>
      </c>
      <c r="S47" s="359">
        <v>5</v>
      </c>
      <c r="T47" s="52">
        <v>6</v>
      </c>
      <c r="U47" s="31"/>
      <c r="V47" s="9"/>
      <c r="W47" s="67"/>
      <c r="Y47" s="52">
        <v>6</v>
      </c>
      <c r="Z47" s="31"/>
      <c r="AA47" s="9"/>
      <c r="AB47" s="67"/>
      <c r="AD47" s="52">
        <v>6</v>
      </c>
      <c r="AE47" s="31">
        <v>40118</v>
      </c>
      <c r="AF47" s="9">
        <v>0</v>
      </c>
      <c r="AG47" s="67" t="e">
        <f>IF(AD47&lt;'DADOS DOS EMPREENDIMENTOS'!AF$11,0,IF(AD47='DADOS DOS EMPREENDIMENTOS'!AF$11,SUM(AF$41:AF47)*(1-'DADOS DOS EMPREENDIMENTOS'!#REF!-'DADOS DOS EMPREENDIMENTOS'!#REF!)+'DADOS DOS EMPREENDIMENTOS'!#REF!,IF(AD47='DADOS DOS EMPREENDIMENTOS'!#REF!,'DADOS DOS EMPREENDIMENTOS'!#REF!,AF47*(1-'DADOS DOS EMPREENDIMENTOS'!#REF!-'DADOS DOS EMPREENDIMENTOS'!#REF!))))</f>
        <v>#REF!</v>
      </c>
      <c r="AI47" s="52">
        <v>6</v>
      </c>
      <c r="AJ47" s="31">
        <v>40118</v>
      </c>
      <c r="AK47" s="9">
        <v>0</v>
      </c>
      <c r="AL47" s="67" t="e">
        <f>IF(AI47&lt;'DADOS DOS EMPREENDIMENTOS'!AK$11,0,IF(AI47='DADOS DOS EMPREENDIMENTOS'!AK$11,SUM(AK$41:AK47)*(1-'DADOS DOS EMPREENDIMENTOS'!#REF!-'DADOS DOS EMPREENDIMENTOS'!#REF!)+'DADOS DOS EMPREENDIMENTOS'!#REF!,IF(AI47='DADOS DOS EMPREENDIMENTOS'!#REF!,'DADOS DOS EMPREENDIMENTOS'!#REF!,AK47*(1-'DADOS DOS EMPREENDIMENTOS'!#REF!-'DADOS DOS EMPREENDIMENTOS'!#REF!))))</f>
        <v>#REF!</v>
      </c>
      <c r="AN47" s="52">
        <v>6</v>
      </c>
      <c r="AO47" s="31">
        <v>40118</v>
      </c>
      <c r="AP47" s="9">
        <v>0</v>
      </c>
      <c r="AQ47" s="67" t="e">
        <f>IF(AN47&lt;'DADOS DOS EMPREENDIMENTOS'!AP$11,0,IF(AN47='DADOS DOS EMPREENDIMENTOS'!AP$11,SUM(AP$41:AP47)*(1-'DADOS DOS EMPREENDIMENTOS'!#REF!-'DADOS DOS EMPREENDIMENTOS'!#REF!)+'DADOS DOS EMPREENDIMENTOS'!#REF!,IF(AN47='DADOS DOS EMPREENDIMENTOS'!#REF!,'DADOS DOS EMPREENDIMENTOS'!#REF!,AP47*(1-'DADOS DOS EMPREENDIMENTOS'!#REF!-'DADOS DOS EMPREENDIMENTOS'!#REF!))))</f>
        <v>#REF!</v>
      </c>
      <c r="AS47" s="52">
        <v>6</v>
      </c>
      <c r="AT47" s="31">
        <v>40118</v>
      </c>
      <c r="AU47" s="9">
        <v>0</v>
      </c>
      <c r="AV47" s="67" t="e">
        <f>IF(AS47&lt;'DADOS DOS EMPREENDIMENTOS'!AU$11,0,IF(AS47='DADOS DOS EMPREENDIMENTOS'!AU$11,SUM(AU$41:AU47)*(1-'DADOS DOS EMPREENDIMENTOS'!#REF!-'DADOS DOS EMPREENDIMENTOS'!#REF!)+'DADOS DOS EMPREENDIMENTOS'!#REF!,IF(AS47='DADOS DOS EMPREENDIMENTOS'!#REF!,'DADOS DOS EMPREENDIMENTOS'!#REF!,AU47*(1-'DADOS DOS EMPREENDIMENTOS'!#REF!-'DADOS DOS EMPREENDIMENTOS'!#REF!))))</f>
        <v>#REF!</v>
      </c>
      <c r="AX47" s="52">
        <v>6</v>
      </c>
      <c r="AY47" s="31">
        <v>40118</v>
      </c>
      <c r="AZ47" s="9">
        <v>0</v>
      </c>
      <c r="BA47" s="67" t="e">
        <f>IF(AX47&lt;'DADOS DOS EMPREENDIMENTOS'!AZ$11,0,IF(AX47='DADOS DOS EMPREENDIMENTOS'!AZ$11,SUM(AZ$41:AZ47)*(1-'DADOS DOS EMPREENDIMENTOS'!#REF!-'DADOS DOS EMPREENDIMENTOS'!#REF!)+'DADOS DOS EMPREENDIMENTOS'!#REF!,IF(AX47='DADOS DOS EMPREENDIMENTOS'!#REF!,'DADOS DOS EMPREENDIMENTOS'!#REF!,AZ47*(1-'DADOS DOS EMPREENDIMENTOS'!#REF!-'DADOS DOS EMPREENDIMENTOS'!#REF!))))</f>
        <v>#REF!</v>
      </c>
      <c r="BC47" s="52">
        <v>6</v>
      </c>
      <c r="BD47" s="31">
        <v>40118</v>
      </c>
      <c r="BE47" s="9">
        <v>0</v>
      </c>
      <c r="BF47" s="67" t="e">
        <f>IF(BC47&lt;'DADOS DOS EMPREENDIMENTOS'!BE$11,0,IF(BC47='DADOS DOS EMPREENDIMENTOS'!BE$11,SUM(BE$41:BE47)*(1-'DADOS DOS EMPREENDIMENTOS'!#REF!-'DADOS DOS EMPREENDIMENTOS'!#REF!)+'DADOS DOS EMPREENDIMENTOS'!#REF!,IF(BC47='DADOS DOS EMPREENDIMENTOS'!#REF!,'DADOS DOS EMPREENDIMENTOS'!#REF!,BE47*(1-'DADOS DOS EMPREENDIMENTOS'!#REF!-'DADOS DOS EMPREENDIMENTOS'!#REF!))))</f>
        <v>#REF!</v>
      </c>
      <c r="BH47" s="52">
        <v>6</v>
      </c>
      <c r="BI47" s="31">
        <v>40118</v>
      </c>
      <c r="BJ47" s="9">
        <v>0</v>
      </c>
      <c r="BK47" s="67" t="e">
        <f>IF(BH47&lt;'DADOS DOS EMPREENDIMENTOS'!BJ$11,0,IF(BH47='DADOS DOS EMPREENDIMENTOS'!BJ$11,SUM(BJ$41:BJ47)*(1-'DADOS DOS EMPREENDIMENTOS'!#REF!-'DADOS DOS EMPREENDIMENTOS'!#REF!)+'DADOS DOS EMPREENDIMENTOS'!#REF!,IF(BH47='DADOS DOS EMPREENDIMENTOS'!#REF!,'DADOS DOS EMPREENDIMENTOS'!#REF!,BJ47*(1-'DADOS DOS EMPREENDIMENTOS'!#REF!-'DADOS DOS EMPREENDIMENTOS'!#REF!))))</f>
        <v>#REF!</v>
      </c>
      <c r="BM47" s="52">
        <v>6</v>
      </c>
      <c r="BN47" s="31">
        <v>40118</v>
      </c>
      <c r="BO47" s="9">
        <v>0</v>
      </c>
      <c r="BP47" s="67" t="e">
        <f>IF(BM47&lt;'DADOS DOS EMPREENDIMENTOS'!BO$11,0,IF(BM47='DADOS DOS EMPREENDIMENTOS'!BO$11,SUM(BO$41:BO47)*(1-'DADOS DOS EMPREENDIMENTOS'!#REF!-'DADOS DOS EMPREENDIMENTOS'!#REF!)+'DADOS DOS EMPREENDIMENTOS'!#REF!,IF(BM47='DADOS DOS EMPREENDIMENTOS'!BO$12,'DADOS DOS EMPREENDIMENTOS'!#REF!,BO47*(1-'DADOS DOS EMPREENDIMENTOS'!#REF!-'DADOS DOS EMPREENDIMENTOS'!#REF!))))</f>
        <v>#REF!</v>
      </c>
      <c r="BR47" s="52">
        <v>6</v>
      </c>
      <c r="BS47" s="31">
        <v>40118</v>
      </c>
      <c r="BT47" s="9">
        <v>0</v>
      </c>
      <c r="BU47" s="67" t="e">
        <f>IF(BR47&lt;'DADOS DOS EMPREENDIMENTOS'!BT$11,0,IF(BR47='DADOS DOS EMPREENDIMENTOS'!BT$11,SUM(BT$41:BT47)*(1-'DADOS DOS EMPREENDIMENTOS'!#REF!-'DADOS DOS EMPREENDIMENTOS'!#REF!)+'DADOS DOS EMPREENDIMENTOS'!#REF!,IF(BR47='DADOS DOS EMPREENDIMENTOS'!BT$12,'DADOS DOS EMPREENDIMENTOS'!#REF!,BT47*(1-'DADOS DOS EMPREENDIMENTOS'!#REF!-'DADOS DOS EMPREENDIMENTOS'!#REF!))))</f>
        <v>#REF!</v>
      </c>
      <c r="BW47" s="52">
        <v>6</v>
      </c>
      <c r="BX47" s="31">
        <v>40118</v>
      </c>
      <c r="BY47" s="9">
        <v>0</v>
      </c>
      <c r="BZ47" s="67" t="e">
        <f>IF(BW47&lt;'DADOS DOS EMPREENDIMENTOS'!BY$11,0,IF(BW47='DADOS DOS EMPREENDIMENTOS'!BY$11,SUM(BY$41:BY47)*(1-'DADOS DOS EMPREENDIMENTOS'!#REF!-'DADOS DOS EMPREENDIMENTOS'!#REF!)+'DADOS DOS EMPREENDIMENTOS'!#REF!,IF(BW47='DADOS DOS EMPREENDIMENTOS'!BY$12,'DADOS DOS EMPREENDIMENTOS'!#REF!,BY47*(1-'DADOS DOS EMPREENDIMENTOS'!#REF!-'DADOS DOS EMPREENDIMENTOS'!#REF!))))</f>
        <v>#REF!</v>
      </c>
      <c r="CB47" s="52">
        <v>6</v>
      </c>
      <c r="CC47" s="31">
        <v>40118</v>
      </c>
      <c r="CD47" s="9">
        <v>0</v>
      </c>
      <c r="CE47" s="67" t="e">
        <f>IF(CB47&lt;'DADOS DOS EMPREENDIMENTOS'!CD$11,0,IF(CB47='DADOS DOS EMPREENDIMENTOS'!CD$11,SUM(CD$41:CD47)*(1-'DADOS DOS EMPREENDIMENTOS'!#REF!-'DADOS DOS EMPREENDIMENTOS'!#REF!)+'DADOS DOS EMPREENDIMENTOS'!#REF!,IF(CB47='DADOS DOS EMPREENDIMENTOS'!CD$12,'DADOS DOS EMPREENDIMENTOS'!#REF!,CD47*(1-'DADOS DOS EMPREENDIMENTOS'!#REF!-'DADOS DOS EMPREENDIMENTOS'!#REF!))))</f>
        <v>#REF!</v>
      </c>
      <c r="CG47" s="52"/>
      <c r="CH47" s="31"/>
      <c r="CI47" s="9"/>
      <c r="CJ47" s="67"/>
    </row>
    <row r="48" spans="4:89" ht="12.75" customHeight="1" thickBot="1" x14ac:dyDescent="0.25">
      <c r="O48" s="43">
        <v>33</v>
      </c>
      <c r="P48" s="607" t="s">
        <v>344</v>
      </c>
      <c r="Q48" s="642">
        <f>VLOOKUP(P48,Apoio!C:E,2,0)</f>
        <v>240000</v>
      </c>
      <c r="R48" s="609">
        <v>240000</v>
      </c>
      <c r="S48" s="359">
        <v>5</v>
      </c>
      <c r="T48" s="52">
        <v>7</v>
      </c>
      <c r="U48" s="31"/>
      <c r="V48" s="9"/>
      <c r="W48" s="67"/>
      <c r="Y48" s="52">
        <v>7</v>
      </c>
      <c r="Z48" s="31"/>
      <c r="AA48" s="9"/>
      <c r="AB48" s="67"/>
      <c r="AD48" s="52">
        <v>7</v>
      </c>
      <c r="AE48" s="31">
        <v>40148</v>
      </c>
      <c r="AF48" s="9">
        <v>1.570000040555336E-2</v>
      </c>
      <c r="AG48" s="67" t="e">
        <f>IF(AD48&lt;'DADOS DOS EMPREENDIMENTOS'!AF$11,0,IF(AD48='DADOS DOS EMPREENDIMENTOS'!AF$11,SUM(AF$41:AF48)*(1-'DADOS DOS EMPREENDIMENTOS'!#REF!-'DADOS DOS EMPREENDIMENTOS'!#REF!)+'DADOS DOS EMPREENDIMENTOS'!#REF!,IF(AD48='DADOS DOS EMPREENDIMENTOS'!#REF!,'DADOS DOS EMPREENDIMENTOS'!#REF!,AF48*(1-'DADOS DOS EMPREENDIMENTOS'!#REF!-'DADOS DOS EMPREENDIMENTOS'!#REF!))))</f>
        <v>#REF!</v>
      </c>
      <c r="AI48" s="52">
        <v>7</v>
      </c>
      <c r="AJ48" s="31">
        <v>40148</v>
      </c>
      <c r="AK48" s="9">
        <v>1.570000040555336E-2</v>
      </c>
      <c r="AL48" s="67" t="e">
        <f>IF(AI48&lt;'DADOS DOS EMPREENDIMENTOS'!AK$11,0,IF(AI48='DADOS DOS EMPREENDIMENTOS'!AK$11,SUM(AK$41:AK48)*(1-'DADOS DOS EMPREENDIMENTOS'!#REF!-'DADOS DOS EMPREENDIMENTOS'!#REF!)+'DADOS DOS EMPREENDIMENTOS'!#REF!,IF(AI48='DADOS DOS EMPREENDIMENTOS'!#REF!,'DADOS DOS EMPREENDIMENTOS'!#REF!,AK48*(1-'DADOS DOS EMPREENDIMENTOS'!#REF!-'DADOS DOS EMPREENDIMENTOS'!#REF!))))</f>
        <v>#REF!</v>
      </c>
      <c r="AN48" s="52">
        <v>7</v>
      </c>
      <c r="AO48" s="31">
        <v>40148</v>
      </c>
      <c r="AP48" s="9">
        <v>1.570000040555336E-2</v>
      </c>
      <c r="AQ48" s="67" t="e">
        <f>IF(AN48&lt;'DADOS DOS EMPREENDIMENTOS'!AP$11,0,IF(AN48='DADOS DOS EMPREENDIMENTOS'!AP$11,SUM(AP$41:AP48)*(1-'DADOS DOS EMPREENDIMENTOS'!#REF!-'DADOS DOS EMPREENDIMENTOS'!#REF!)+'DADOS DOS EMPREENDIMENTOS'!#REF!,IF(AN48='DADOS DOS EMPREENDIMENTOS'!#REF!,'DADOS DOS EMPREENDIMENTOS'!#REF!,AP48*(1-'DADOS DOS EMPREENDIMENTOS'!#REF!-'DADOS DOS EMPREENDIMENTOS'!#REF!))))</f>
        <v>#REF!</v>
      </c>
      <c r="AS48" s="52">
        <v>7</v>
      </c>
      <c r="AT48" s="31">
        <v>40148</v>
      </c>
      <c r="AU48" s="9">
        <v>1.570000040555336E-2</v>
      </c>
      <c r="AV48" s="67" t="e">
        <f>IF(AS48&lt;'DADOS DOS EMPREENDIMENTOS'!AU$11,0,IF(AS48='DADOS DOS EMPREENDIMENTOS'!AU$11,SUM(AU$41:AU48)*(1-'DADOS DOS EMPREENDIMENTOS'!#REF!-'DADOS DOS EMPREENDIMENTOS'!#REF!)+'DADOS DOS EMPREENDIMENTOS'!#REF!,IF(AS48='DADOS DOS EMPREENDIMENTOS'!#REF!,'DADOS DOS EMPREENDIMENTOS'!#REF!,AU48*(1-'DADOS DOS EMPREENDIMENTOS'!#REF!-'DADOS DOS EMPREENDIMENTOS'!#REF!))))</f>
        <v>#REF!</v>
      </c>
      <c r="AX48" s="52">
        <v>7</v>
      </c>
      <c r="AY48" s="31">
        <v>40148</v>
      </c>
      <c r="AZ48" s="9">
        <v>1.570000040555336E-2</v>
      </c>
      <c r="BA48" s="67" t="e">
        <f>IF(AX48&lt;'DADOS DOS EMPREENDIMENTOS'!AZ$11,0,IF(AX48='DADOS DOS EMPREENDIMENTOS'!AZ$11,SUM(AZ$41:AZ48)*(1-'DADOS DOS EMPREENDIMENTOS'!#REF!-'DADOS DOS EMPREENDIMENTOS'!#REF!)+'DADOS DOS EMPREENDIMENTOS'!#REF!,IF(AX48='DADOS DOS EMPREENDIMENTOS'!#REF!,'DADOS DOS EMPREENDIMENTOS'!#REF!,AZ48*(1-'DADOS DOS EMPREENDIMENTOS'!#REF!-'DADOS DOS EMPREENDIMENTOS'!#REF!))))</f>
        <v>#REF!</v>
      </c>
      <c r="BC48" s="52">
        <v>7</v>
      </c>
      <c r="BD48" s="31">
        <v>40148</v>
      </c>
      <c r="BE48" s="9">
        <v>1.570000040555336E-2</v>
      </c>
      <c r="BF48" s="67" t="e">
        <f>IF(BC48&lt;'DADOS DOS EMPREENDIMENTOS'!BE$11,0,IF(BC48='DADOS DOS EMPREENDIMENTOS'!BE$11,SUM(BE$41:BE48)*(1-'DADOS DOS EMPREENDIMENTOS'!#REF!-'DADOS DOS EMPREENDIMENTOS'!#REF!)+'DADOS DOS EMPREENDIMENTOS'!#REF!,IF(BC48='DADOS DOS EMPREENDIMENTOS'!#REF!,'DADOS DOS EMPREENDIMENTOS'!#REF!,BE48*(1-'DADOS DOS EMPREENDIMENTOS'!#REF!-'DADOS DOS EMPREENDIMENTOS'!#REF!))))</f>
        <v>#REF!</v>
      </c>
      <c r="BH48" s="52">
        <v>7</v>
      </c>
      <c r="BI48" s="31">
        <v>40148</v>
      </c>
      <c r="BJ48" s="9">
        <v>1.570000040555336E-2</v>
      </c>
      <c r="BK48" s="67" t="e">
        <f>IF(BH48&lt;'DADOS DOS EMPREENDIMENTOS'!BJ$11,0,IF(BH48='DADOS DOS EMPREENDIMENTOS'!BJ$11,SUM(BJ$41:BJ48)*(1-'DADOS DOS EMPREENDIMENTOS'!#REF!-'DADOS DOS EMPREENDIMENTOS'!#REF!)+'DADOS DOS EMPREENDIMENTOS'!#REF!,IF(BH48='DADOS DOS EMPREENDIMENTOS'!#REF!,'DADOS DOS EMPREENDIMENTOS'!#REF!,BJ48*(1-'DADOS DOS EMPREENDIMENTOS'!#REF!-'DADOS DOS EMPREENDIMENTOS'!#REF!))))</f>
        <v>#REF!</v>
      </c>
      <c r="BM48" s="52">
        <v>7</v>
      </c>
      <c r="BN48" s="31">
        <v>40148</v>
      </c>
      <c r="BO48" s="9">
        <v>1.570000040555336E-2</v>
      </c>
      <c r="BP48" s="67" t="e">
        <f>IF(BM48&lt;'DADOS DOS EMPREENDIMENTOS'!BO$11,0,IF(BM48='DADOS DOS EMPREENDIMENTOS'!BO$11,SUM(BO$41:BO48)*(1-'DADOS DOS EMPREENDIMENTOS'!#REF!-'DADOS DOS EMPREENDIMENTOS'!#REF!)+'DADOS DOS EMPREENDIMENTOS'!#REF!,IF(BM48='DADOS DOS EMPREENDIMENTOS'!BO$12,'DADOS DOS EMPREENDIMENTOS'!#REF!,BO48*(1-'DADOS DOS EMPREENDIMENTOS'!#REF!-'DADOS DOS EMPREENDIMENTOS'!#REF!))))</f>
        <v>#REF!</v>
      </c>
      <c r="BR48" s="52">
        <v>7</v>
      </c>
      <c r="BS48" s="31">
        <v>40148</v>
      </c>
      <c r="BT48" s="9">
        <v>1.570000040555336E-2</v>
      </c>
      <c r="BU48" s="67" t="e">
        <f>IF(BR48&lt;'DADOS DOS EMPREENDIMENTOS'!BT$11,0,IF(BR48='DADOS DOS EMPREENDIMENTOS'!BT$11,SUM(BT$41:BT48)*(1-'DADOS DOS EMPREENDIMENTOS'!#REF!-'DADOS DOS EMPREENDIMENTOS'!#REF!)+'DADOS DOS EMPREENDIMENTOS'!#REF!,IF(BR48='DADOS DOS EMPREENDIMENTOS'!BT$12,'DADOS DOS EMPREENDIMENTOS'!#REF!,BT48*(1-'DADOS DOS EMPREENDIMENTOS'!#REF!-'DADOS DOS EMPREENDIMENTOS'!#REF!))))</f>
        <v>#REF!</v>
      </c>
      <c r="BW48" s="52">
        <v>7</v>
      </c>
      <c r="BX48" s="31">
        <v>40148</v>
      </c>
      <c r="BY48" s="9">
        <v>1.570000040555336E-2</v>
      </c>
      <c r="BZ48" s="67" t="e">
        <f>IF(BW48&lt;'DADOS DOS EMPREENDIMENTOS'!BY$11,0,IF(BW48='DADOS DOS EMPREENDIMENTOS'!BY$11,SUM(BY$41:BY48)*(1-'DADOS DOS EMPREENDIMENTOS'!#REF!-'DADOS DOS EMPREENDIMENTOS'!#REF!)+'DADOS DOS EMPREENDIMENTOS'!#REF!,IF(BW48='DADOS DOS EMPREENDIMENTOS'!BY$12,'DADOS DOS EMPREENDIMENTOS'!#REF!,BY48*(1-'DADOS DOS EMPREENDIMENTOS'!#REF!-'DADOS DOS EMPREENDIMENTOS'!#REF!))))</f>
        <v>#REF!</v>
      </c>
      <c r="CB48" s="52">
        <v>7</v>
      </c>
      <c r="CC48" s="31">
        <v>40148</v>
      </c>
      <c r="CD48" s="9">
        <v>1.570000040555336E-2</v>
      </c>
      <c r="CE48" s="67" t="e">
        <f>IF(CB48&lt;'DADOS DOS EMPREENDIMENTOS'!CD$11,0,IF(CB48='DADOS DOS EMPREENDIMENTOS'!CD$11,SUM(CD$41:CD48)*(1-'DADOS DOS EMPREENDIMENTOS'!#REF!-'DADOS DOS EMPREENDIMENTOS'!#REF!)+'DADOS DOS EMPREENDIMENTOS'!#REF!,IF(CB48='DADOS DOS EMPREENDIMENTOS'!CD$12,'DADOS DOS EMPREENDIMENTOS'!#REF!,CD48*(1-'DADOS DOS EMPREENDIMENTOS'!#REF!-'DADOS DOS EMPREENDIMENTOS'!#REF!))))</f>
        <v>#REF!</v>
      </c>
      <c r="CG48" s="52"/>
      <c r="CH48" s="31"/>
      <c r="CI48" s="9"/>
      <c r="CJ48" s="67"/>
    </row>
    <row r="49" spans="15:88" ht="12.75" customHeight="1" thickBot="1" x14ac:dyDescent="0.25">
      <c r="O49" s="45">
        <v>34</v>
      </c>
      <c r="P49" s="607" t="s">
        <v>345</v>
      </c>
      <c r="Q49" s="642">
        <f>VLOOKUP(P49,Apoio!C:E,2,0)</f>
        <v>240000</v>
      </c>
      <c r="R49" s="609">
        <v>240000</v>
      </c>
      <c r="S49" s="359">
        <v>5</v>
      </c>
      <c r="T49" s="52">
        <v>8</v>
      </c>
      <c r="U49" s="31"/>
      <c r="V49" s="9"/>
      <c r="W49" s="67"/>
      <c r="Y49" s="52">
        <v>8</v>
      </c>
      <c r="Z49" s="31"/>
      <c r="AA49" s="9"/>
      <c r="AB49" s="67"/>
      <c r="AD49" s="52">
        <v>8</v>
      </c>
      <c r="AE49" s="31">
        <v>40179</v>
      </c>
      <c r="AF49" s="9">
        <v>4.6099999744609189E-2</v>
      </c>
      <c r="AG49" s="67" t="e">
        <f>IF(AD49&lt;'DADOS DOS EMPREENDIMENTOS'!AF$11,0,IF(AD49='DADOS DOS EMPREENDIMENTOS'!AF$11,SUM(AF$41:AF49)*(1-'DADOS DOS EMPREENDIMENTOS'!#REF!-'DADOS DOS EMPREENDIMENTOS'!#REF!)+'DADOS DOS EMPREENDIMENTOS'!#REF!,IF(AD49='DADOS DOS EMPREENDIMENTOS'!#REF!,'DADOS DOS EMPREENDIMENTOS'!#REF!,AF49*(1-'DADOS DOS EMPREENDIMENTOS'!#REF!-'DADOS DOS EMPREENDIMENTOS'!#REF!))))</f>
        <v>#REF!</v>
      </c>
      <c r="AI49" s="52">
        <v>8</v>
      </c>
      <c r="AJ49" s="31">
        <v>40179</v>
      </c>
      <c r="AK49" s="9">
        <v>4.6099999744609189E-2</v>
      </c>
      <c r="AL49" s="67" t="e">
        <f>IF(AI49&lt;'DADOS DOS EMPREENDIMENTOS'!AK$11,0,IF(AI49='DADOS DOS EMPREENDIMENTOS'!AK$11,SUM(AK$41:AK49)*(1-'DADOS DOS EMPREENDIMENTOS'!#REF!-'DADOS DOS EMPREENDIMENTOS'!#REF!)+'DADOS DOS EMPREENDIMENTOS'!#REF!,IF(AI49='DADOS DOS EMPREENDIMENTOS'!#REF!,'DADOS DOS EMPREENDIMENTOS'!#REF!,AK49*(1-'DADOS DOS EMPREENDIMENTOS'!#REF!-'DADOS DOS EMPREENDIMENTOS'!#REF!))))</f>
        <v>#REF!</v>
      </c>
      <c r="AN49" s="52">
        <v>8</v>
      </c>
      <c r="AO49" s="31">
        <v>40179</v>
      </c>
      <c r="AP49" s="9">
        <v>4.6099999744609189E-2</v>
      </c>
      <c r="AQ49" s="67" t="e">
        <f>IF(AN49&lt;'DADOS DOS EMPREENDIMENTOS'!AP$11,0,IF(AN49='DADOS DOS EMPREENDIMENTOS'!AP$11,SUM(AP$41:AP49)*(1-'DADOS DOS EMPREENDIMENTOS'!#REF!-'DADOS DOS EMPREENDIMENTOS'!#REF!)+'DADOS DOS EMPREENDIMENTOS'!#REF!,IF(AN49='DADOS DOS EMPREENDIMENTOS'!#REF!,'DADOS DOS EMPREENDIMENTOS'!#REF!,AP49*(1-'DADOS DOS EMPREENDIMENTOS'!#REF!-'DADOS DOS EMPREENDIMENTOS'!#REF!))))</f>
        <v>#REF!</v>
      </c>
      <c r="AS49" s="52">
        <v>8</v>
      </c>
      <c r="AT49" s="31">
        <v>40179</v>
      </c>
      <c r="AU49" s="9">
        <v>4.6099999744609189E-2</v>
      </c>
      <c r="AV49" s="67" t="e">
        <f>IF(AS49&lt;'DADOS DOS EMPREENDIMENTOS'!AU$11,0,IF(AS49='DADOS DOS EMPREENDIMENTOS'!AU$11,SUM(AU$41:AU49)*(1-'DADOS DOS EMPREENDIMENTOS'!#REF!-'DADOS DOS EMPREENDIMENTOS'!#REF!)+'DADOS DOS EMPREENDIMENTOS'!#REF!,IF(AS49='DADOS DOS EMPREENDIMENTOS'!#REF!,'DADOS DOS EMPREENDIMENTOS'!#REF!,AU49*(1-'DADOS DOS EMPREENDIMENTOS'!#REF!-'DADOS DOS EMPREENDIMENTOS'!#REF!))))</f>
        <v>#REF!</v>
      </c>
      <c r="AX49" s="52">
        <v>8</v>
      </c>
      <c r="AY49" s="31">
        <v>40179</v>
      </c>
      <c r="AZ49" s="9">
        <v>4.6099999744609189E-2</v>
      </c>
      <c r="BA49" s="67" t="e">
        <f>IF(AX49&lt;'DADOS DOS EMPREENDIMENTOS'!AZ$11,0,IF(AX49='DADOS DOS EMPREENDIMENTOS'!AZ$11,SUM(AZ$41:AZ49)*(1-'DADOS DOS EMPREENDIMENTOS'!#REF!-'DADOS DOS EMPREENDIMENTOS'!#REF!)+'DADOS DOS EMPREENDIMENTOS'!#REF!,IF(AX49='DADOS DOS EMPREENDIMENTOS'!#REF!,'DADOS DOS EMPREENDIMENTOS'!#REF!,AZ49*(1-'DADOS DOS EMPREENDIMENTOS'!#REF!-'DADOS DOS EMPREENDIMENTOS'!#REF!))))</f>
        <v>#REF!</v>
      </c>
      <c r="BC49" s="52">
        <v>8</v>
      </c>
      <c r="BD49" s="31">
        <v>40179</v>
      </c>
      <c r="BE49" s="9">
        <v>4.6099999744609189E-2</v>
      </c>
      <c r="BF49" s="67" t="e">
        <f>IF(BC49&lt;'DADOS DOS EMPREENDIMENTOS'!BE$11,0,IF(BC49='DADOS DOS EMPREENDIMENTOS'!BE$11,SUM(BE$41:BE49)*(1-'DADOS DOS EMPREENDIMENTOS'!#REF!-'DADOS DOS EMPREENDIMENTOS'!#REF!)+'DADOS DOS EMPREENDIMENTOS'!#REF!,IF(BC49='DADOS DOS EMPREENDIMENTOS'!#REF!,'DADOS DOS EMPREENDIMENTOS'!#REF!,BE49*(1-'DADOS DOS EMPREENDIMENTOS'!#REF!-'DADOS DOS EMPREENDIMENTOS'!#REF!))))</f>
        <v>#REF!</v>
      </c>
      <c r="BH49" s="52">
        <v>8</v>
      </c>
      <c r="BI49" s="31">
        <v>40179</v>
      </c>
      <c r="BJ49" s="9">
        <v>4.6099999744609189E-2</v>
      </c>
      <c r="BK49" s="67" t="e">
        <f>IF(BH49&lt;'DADOS DOS EMPREENDIMENTOS'!BJ$11,0,IF(BH49='DADOS DOS EMPREENDIMENTOS'!BJ$11,SUM(BJ$41:BJ49)*(1-'DADOS DOS EMPREENDIMENTOS'!#REF!-'DADOS DOS EMPREENDIMENTOS'!#REF!)+'DADOS DOS EMPREENDIMENTOS'!#REF!,IF(BH49='DADOS DOS EMPREENDIMENTOS'!#REF!,'DADOS DOS EMPREENDIMENTOS'!#REF!,BJ49*(1-'DADOS DOS EMPREENDIMENTOS'!#REF!-'DADOS DOS EMPREENDIMENTOS'!#REF!))))</f>
        <v>#REF!</v>
      </c>
      <c r="BM49" s="52">
        <v>8</v>
      </c>
      <c r="BN49" s="31">
        <v>40179</v>
      </c>
      <c r="BO49" s="9">
        <v>4.6099999744609189E-2</v>
      </c>
      <c r="BP49" s="67" t="e">
        <f>IF(BM49&lt;'DADOS DOS EMPREENDIMENTOS'!BO$11,0,IF(BM49='DADOS DOS EMPREENDIMENTOS'!BO$11,SUM(BO$41:BO49)*(1-'DADOS DOS EMPREENDIMENTOS'!#REF!-'DADOS DOS EMPREENDIMENTOS'!#REF!)+'DADOS DOS EMPREENDIMENTOS'!#REF!,IF(BM49='DADOS DOS EMPREENDIMENTOS'!BO$12,'DADOS DOS EMPREENDIMENTOS'!#REF!,BO49*(1-'DADOS DOS EMPREENDIMENTOS'!#REF!-'DADOS DOS EMPREENDIMENTOS'!#REF!))))</f>
        <v>#REF!</v>
      </c>
      <c r="BR49" s="52">
        <v>8</v>
      </c>
      <c r="BS49" s="31">
        <v>40179</v>
      </c>
      <c r="BT49" s="9">
        <v>4.6099999744609189E-2</v>
      </c>
      <c r="BU49" s="67" t="e">
        <f>IF(BR49&lt;'DADOS DOS EMPREENDIMENTOS'!BT$11,0,IF(BR49='DADOS DOS EMPREENDIMENTOS'!BT$11,SUM(BT$41:BT49)*(1-'DADOS DOS EMPREENDIMENTOS'!#REF!-'DADOS DOS EMPREENDIMENTOS'!#REF!)+'DADOS DOS EMPREENDIMENTOS'!#REF!,IF(BR49='DADOS DOS EMPREENDIMENTOS'!BT$12,'DADOS DOS EMPREENDIMENTOS'!#REF!,BT49*(1-'DADOS DOS EMPREENDIMENTOS'!#REF!-'DADOS DOS EMPREENDIMENTOS'!#REF!))))</f>
        <v>#REF!</v>
      </c>
      <c r="BW49" s="52">
        <v>8</v>
      </c>
      <c r="BX49" s="31">
        <v>40179</v>
      </c>
      <c r="BY49" s="9">
        <v>4.6099999744609189E-2</v>
      </c>
      <c r="BZ49" s="67" t="e">
        <f>IF(BW49&lt;'DADOS DOS EMPREENDIMENTOS'!BY$11,0,IF(BW49='DADOS DOS EMPREENDIMENTOS'!BY$11,SUM(BY$41:BY49)*(1-'DADOS DOS EMPREENDIMENTOS'!#REF!-'DADOS DOS EMPREENDIMENTOS'!#REF!)+'DADOS DOS EMPREENDIMENTOS'!#REF!,IF(BW49='DADOS DOS EMPREENDIMENTOS'!BY$12,'DADOS DOS EMPREENDIMENTOS'!#REF!,BY49*(1-'DADOS DOS EMPREENDIMENTOS'!#REF!-'DADOS DOS EMPREENDIMENTOS'!#REF!))))</f>
        <v>#REF!</v>
      </c>
      <c r="CB49" s="52">
        <v>8</v>
      </c>
      <c r="CC49" s="31">
        <v>40179</v>
      </c>
      <c r="CD49" s="9">
        <v>4.6099999744609189E-2</v>
      </c>
      <c r="CE49" s="67" t="e">
        <f>IF(CB49&lt;'DADOS DOS EMPREENDIMENTOS'!CD$11,0,IF(CB49='DADOS DOS EMPREENDIMENTOS'!CD$11,SUM(CD$41:CD49)*(1-'DADOS DOS EMPREENDIMENTOS'!#REF!-'DADOS DOS EMPREENDIMENTOS'!#REF!)+'DADOS DOS EMPREENDIMENTOS'!#REF!,IF(CB49='DADOS DOS EMPREENDIMENTOS'!CD$12,'DADOS DOS EMPREENDIMENTOS'!#REF!,CD49*(1-'DADOS DOS EMPREENDIMENTOS'!#REF!-'DADOS DOS EMPREENDIMENTOS'!#REF!))))</f>
        <v>#REF!</v>
      </c>
      <c r="CG49" s="52"/>
      <c r="CH49" s="31"/>
      <c r="CI49" s="9"/>
      <c r="CJ49" s="67"/>
    </row>
    <row r="50" spans="15:88" ht="12.75" customHeight="1" thickBot="1" x14ac:dyDescent="0.25">
      <c r="O50" s="43">
        <v>35</v>
      </c>
      <c r="P50" s="607" t="s">
        <v>346</v>
      </c>
      <c r="Q50" s="642">
        <f>VLOOKUP(P50,Apoio!C:E,2,0)</f>
        <v>240000</v>
      </c>
      <c r="R50" s="609">
        <v>240000</v>
      </c>
      <c r="S50" s="359">
        <v>5</v>
      </c>
      <c r="T50" s="52">
        <v>9</v>
      </c>
      <c r="U50" s="31"/>
      <c r="V50" s="9"/>
      <c r="W50" s="67"/>
      <c r="Y50" s="52">
        <v>9</v>
      </c>
      <c r="Z50" s="31"/>
      <c r="AA50" s="9"/>
      <c r="AB50" s="67"/>
      <c r="AD50" s="52">
        <v>9</v>
      </c>
      <c r="AE50" s="31">
        <v>40210</v>
      </c>
      <c r="AF50" s="9">
        <v>4.5700000205209423E-2</v>
      </c>
      <c r="AG50" s="67" t="e">
        <f>IF(AD50&lt;'DADOS DOS EMPREENDIMENTOS'!AF$11,0,IF(AD50='DADOS DOS EMPREENDIMENTOS'!AF$11,SUM(AF$41:AF50)*(1-'DADOS DOS EMPREENDIMENTOS'!#REF!-'DADOS DOS EMPREENDIMENTOS'!#REF!)+'DADOS DOS EMPREENDIMENTOS'!#REF!,IF(AD50='DADOS DOS EMPREENDIMENTOS'!#REF!,'DADOS DOS EMPREENDIMENTOS'!#REF!,AF50*(1-'DADOS DOS EMPREENDIMENTOS'!#REF!-'DADOS DOS EMPREENDIMENTOS'!#REF!))))</f>
        <v>#REF!</v>
      </c>
      <c r="AI50" s="52">
        <v>9</v>
      </c>
      <c r="AJ50" s="31">
        <v>40210</v>
      </c>
      <c r="AK50" s="9">
        <v>4.5700000205209423E-2</v>
      </c>
      <c r="AL50" s="67" t="e">
        <f>IF(AI50&lt;'DADOS DOS EMPREENDIMENTOS'!AK$11,0,IF(AI50='DADOS DOS EMPREENDIMENTOS'!AK$11,SUM(AK$41:AK50)*(1-'DADOS DOS EMPREENDIMENTOS'!#REF!-'DADOS DOS EMPREENDIMENTOS'!#REF!)+'DADOS DOS EMPREENDIMENTOS'!#REF!,IF(AI50='DADOS DOS EMPREENDIMENTOS'!#REF!,'DADOS DOS EMPREENDIMENTOS'!#REF!,AK50*(1-'DADOS DOS EMPREENDIMENTOS'!#REF!-'DADOS DOS EMPREENDIMENTOS'!#REF!))))</f>
        <v>#REF!</v>
      </c>
      <c r="AN50" s="52">
        <v>9</v>
      </c>
      <c r="AO50" s="31">
        <v>40210</v>
      </c>
      <c r="AP50" s="9">
        <v>4.5700000205209423E-2</v>
      </c>
      <c r="AQ50" s="67" t="e">
        <f>IF(AN50&lt;'DADOS DOS EMPREENDIMENTOS'!AP$11,0,IF(AN50='DADOS DOS EMPREENDIMENTOS'!AP$11,SUM(AP$41:AP50)*(1-'DADOS DOS EMPREENDIMENTOS'!#REF!-'DADOS DOS EMPREENDIMENTOS'!#REF!)+'DADOS DOS EMPREENDIMENTOS'!#REF!,IF(AN50='DADOS DOS EMPREENDIMENTOS'!#REF!,'DADOS DOS EMPREENDIMENTOS'!#REF!,AP50*(1-'DADOS DOS EMPREENDIMENTOS'!#REF!-'DADOS DOS EMPREENDIMENTOS'!#REF!))))</f>
        <v>#REF!</v>
      </c>
      <c r="AS50" s="52">
        <v>9</v>
      </c>
      <c r="AT50" s="31">
        <v>40210</v>
      </c>
      <c r="AU50" s="9">
        <v>4.5700000205209423E-2</v>
      </c>
      <c r="AV50" s="67" t="e">
        <f>IF(AS50&lt;'DADOS DOS EMPREENDIMENTOS'!AU$11,0,IF(AS50='DADOS DOS EMPREENDIMENTOS'!AU$11,SUM(AU$41:AU50)*(1-'DADOS DOS EMPREENDIMENTOS'!#REF!-'DADOS DOS EMPREENDIMENTOS'!#REF!)+'DADOS DOS EMPREENDIMENTOS'!#REF!,IF(AS50='DADOS DOS EMPREENDIMENTOS'!#REF!,'DADOS DOS EMPREENDIMENTOS'!#REF!,AU50*(1-'DADOS DOS EMPREENDIMENTOS'!#REF!-'DADOS DOS EMPREENDIMENTOS'!#REF!))))</f>
        <v>#REF!</v>
      </c>
      <c r="AX50" s="52">
        <v>9</v>
      </c>
      <c r="AY50" s="31">
        <v>40210</v>
      </c>
      <c r="AZ50" s="9">
        <v>4.5700000205209423E-2</v>
      </c>
      <c r="BA50" s="67" t="e">
        <f>IF(AX50&lt;'DADOS DOS EMPREENDIMENTOS'!AZ$11,0,IF(AX50='DADOS DOS EMPREENDIMENTOS'!AZ$11,SUM(AZ$41:AZ50)*(1-'DADOS DOS EMPREENDIMENTOS'!#REF!-'DADOS DOS EMPREENDIMENTOS'!#REF!)+'DADOS DOS EMPREENDIMENTOS'!#REF!,IF(AX50='DADOS DOS EMPREENDIMENTOS'!#REF!,'DADOS DOS EMPREENDIMENTOS'!#REF!,AZ50*(1-'DADOS DOS EMPREENDIMENTOS'!#REF!-'DADOS DOS EMPREENDIMENTOS'!#REF!))))</f>
        <v>#REF!</v>
      </c>
      <c r="BC50" s="52">
        <v>9</v>
      </c>
      <c r="BD50" s="31">
        <v>40210</v>
      </c>
      <c r="BE50" s="9">
        <v>4.5700000205209423E-2</v>
      </c>
      <c r="BF50" s="67" t="e">
        <f>IF(BC50&lt;'DADOS DOS EMPREENDIMENTOS'!BE$11,0,IF(BC50='DADOS DOS EMPREENDIMENTOS'!BE$11,SUM(BE$41:BE50)*(1-'DADOS DOS EMPREENDIMENTOS'!#REF!-'DADOS DOS EMPREENDIMENTOS'!#REF!)+'DADOS DOS EMPREENDIMENTOS'!#REF!,IF(BC50='DADOS DOS EMPREENDIMENTOS'!#REF!,'DADOS DOS EMPREENDIMENTOS'!#REF!,BE50*(1-'DADOS DOS EMPREENDIMENTOS'!#REF!-'DADOS DOS EMPREENDIMENTOS'!#REF!))))</f>
        <v>#REF!</v>
      </c>
      <c r="BH50" s="52">
        <v>9</v>
      </c>
      <c r="BI50" s="31">
        <v>40210</v>
      </c>
      <c r="BJ50" s="9">
        <v>4.5700000205209423E-2</v>
      </c>
      <c r="BK50" s="67" t="e">
        <f>IF(BH50&lt;'DADOS DOS EMPREENDIMENTOS'!BJ$11,0,IF(BH50='DADOS DOS EMPREENDIMENTOS'!BJ$11,SUM(BJ$41:BJ50)*(1-'DADOS DOS EMPREENDIMENTOS'!#REF!-'DADOS DOS EMPREENDIMENTOS'!#REF!)+'DADOS DOS EMPREENDIMENTOS'!#REF!,IF(BH50='DADOS DOS EMPREENDIMENTOS'!#REF!,'DADOS DOS EMPREENDIMENTOS'!#REF!,BJ50*(1-'DADOS DOS EMPREENDIMENTOS'!#REF!-'DADOS DOS EMPREENDIMENTOS'!#REF!))))</f>
        <v>#REF!</v>
      </c>
      <c r="BM50" s="52">
        <v>9</v>
      </c>
      <c r="BN50" s="31">
        <v>40210</v>
      </c>
      <c r="BO50" s="9">
        <v>4.5700000205209423E-2</v>
      </c>
      <c r="BP50" s="67" t="e">
        <f>IF(BM50&lt;'DADOS DOS EMPREENDIMENTOS'!BO$11,0,IF(BM50='DADOS DOS EMPREENDIMENTOS'!BO$11,SUM(BO$41:BO50)*(1-'DADOS DOS EMPREENDIMENTOS'!#REF!-'DADOS DOS EMPREENDIMENTOS'!#REF!)+'DADOS DOS EMPREENDIMENTOS'!#REF!,IF(BM50='DADOS DOS EMPREENDIMENTOS'!BO$12,'DADOS DOS EMPREENDIMENTOS'!#REF!,BO50*(1-'DADOS DOS EMPREENDIMENTOS'!#REF!-'DADOS DOS EMPREENDIMENTOS'!#REF!))))</f>
        <v>#REF!</v>
      </c>
      <c r="BR50" s="52">
        <v>9</v>
      </c>
      <c r="BS50" s="31">
        <v>40210</v>
      </c>
      <c r="BT50" s="9">
        <v>4.5700000205209423E-2</v>
      </c>
      <c r="BU50" s="67" t="e">
        <f>IF(BR50&lt;'DADOS DOS EMPREENDIMENTOS'!BT$11,0,IF(BR50='DADOS DOS EMPREENDIMENTOS'!BT$11,SUM(BT$41:BT50)*(1-'DADOS DOS EMPREENDIMENTOS'!#REF!-'DADOS DOS EMPREENDIMENTOS'!#REF!)+'DADOS DOS EMPREENDIMENTOS'!#REF!,IF(BR50='DADOS DOS EMPREENDIMENTOS'!BT$12,'DADOS DOS EMPREENDIMENTOS'!#REF!,BT50*(1-'DADOS DOS EMPREENDIMENTOS'!#REF!-'DADOS DOS EMPREENDIMENTOS'!#REF!))))</f>
        <v>#REF!</v>
      </c>
      <c r="BW50" s="52">
        <v>9</v>
      </c>
      <c r="BX50" s="31">
        <v>40210</v>
      </c>
      <c r="BY50" s="9">
        <v>4.5700000205209423E-2</v>
      </c>
      <c r="BZ50" s="67" t="e">
        <f>IF(BW50&lt;'DADOS DOS EMPREENDIMENTOS'!BY$11,0,IF(BW50='DADOS DOS EMPREENDIMENTOS'!BY$11,SUM(BY$41:BY50)*(1-'DADOS DOS EMPREENDIMENTOS'!#REF!-'DADOS DOS EMPREENDIMENTOS'!#REF!)+'DADOS DOS EMPREENDIMENTOS'!#REF!,IF(BW50='DADOS DOS EMPREENDIMENTOS'!BY$12,'DADOS DOS EMPREENDIMENTOS'!#REF!,BY50*(1-'DADOS DOS EMPREENDIMENTOS'!#REF!-'DADOS DOS EMPREENDIMENTOS'!#REF!))))</f>
        <v>#REF!</v>
      </c>
      <c r="CB50" s="52">
        <v>9</v>
      </c>
      <c r="CC50" s="31">
        <v>40210</v>
      </c>
      <c r="CD50" s="9">
        <v>4.5700000205209423E-2</v>
      </c>
      <c r="CE50" s="67" t="e">
        <f>IF(CB50&lt;'DADOS DOS EMPREENDIMENTOS'!CD$11,0,IF(CB50='DADOS DOS EMPREENDIMENTOS'!CD$11,SUM(CD$41:CD50)*(1-'DADOS DOS EMPREENDIMENTOS'!#REF!-'DADOS DOS EMPREENDIMENTOS'!#REF!)+'DADOS DOS EMPREENDIMENTOS'!#REF!,IF(CB50='DADOS DOS EMPREENDIMENTOS'!CD$12,'DADOS DOS EMPREENDIMENTOS'!#REF!,CD50*(1-'DADOS DOS EMPREENDIMENTOS'!#REF!-'DADOS DOS EMPREENDIMENTOS'!#REF!))))</f>
        <v>#REF!</v>
      </c>
      <c r="CG50" s="52"/>
      <c r="CH50" s="31"/>
      <c r="CI50" s="9"/>
      <c r="CJ50" s="67"/>
    </row>
    <row r="51" spans="15:88" ht="12.75" customHeight="1" thickBot="1" x14ac:dyDescent="0.25">
      <c r="O51" s="45">
        <v>36</v>
      </c>
      <c r="P51" s="607" t="s">
        <v>347</v>
      </c>
      <c r="Q51" s="642">
        <f>VLOOKUP(P51,Apoio!C:E,2,0)</f>
        <v>240000</v>
      </c>
      <c r="R51" s="609">
        <v>240000</v>
      </c>
      <c r="S51" s="359">
        <v>5</v>
      </c>
      <c r="T51" s="52">
        <v>10</v>
      </c>
      <c r="U51" s="31"/>
      <c r="V51" s="9"/>
      <c r="W51" s="67"/>
      <c r="Y51" s="52">
        <v>10</v>
      </c>
      <c r="Z51" s="31"/>
      <c r="AA51" s="9"/>
      <c r="AB51" s="67"/>
      <c r="AD51" s="52">
        <v>10</v>
      </c>
      <c r="AE51" s="31">
        <v>40238</v>
      </c>
      <c r="AF51" s="9">
        <v>4.9899999900495845E-2</v>
      </c>
      <c r="AG51" s="67" t="e">
        <f>IF(AD51&lt;'DADOS DOS EMPREENDIMENTOS'!AF$11,0,IF(AD51='DADOS DOS EMPREENDIMENTOS'!AF$11,SUM(AF$41:AF51)*(1-'DADOS DOS EMPREENDIMENTOS'!#REF!-'DADOS DOS EMPREENDIMENTOS'!#REF!)+'DADOS DOS EMPREENDIMENTOS'!#REF!,IF(AD51='DADOS DOS EMPREENDIMENTOS'!#REF!,'DADOS DOS EMPREENDIMENTOS'!#REF!,AF51*(1-'DADOS DOS EMPREENDIMENTOS'!#REF!-'DADOS DOS EMPREENDIMENTOS'!#REF!))))</f>
        <v>#REF!</v>
      </c>
      <c r="AI51" s="52">
        <v>10</v>
      </c>
      <c r="AJ51" s="31">
        <v>40238</v>
      </c>
      <c r="AK51" s="9">
        <v>4.9899999900495845E-2</v>
      </c>
      <c r="AL51" s="67" t="e">
        <f>IF(AI51&lt;'DADOS DOS EMPREENDIMENTOS'!AK$11,0,IF(AI51='DADOS DOS EMPREENDIMENTOS'!AK$11,SUM(AK$41:AK51)*(1-'DADOS DOS EMPREENDIMENTOS'!#REF!-'DADOS DOS EMPREENDIMENTOS'!#REF!)+'DADOS DOS EMPREENDIMENTOS'!#REF!,IF(AI51='DADOS DOS EMPREENDIMENTOS'!#REF!,'DADOS DOS EMPREENDIMENTOS'!#REF!,AK51*(1-'DADOS DOS EMPREENDIMENTOS'!#REF!-'DADOS DOS EMPREENDIMENTOS'!#REF!))))</f>
        <v>#REF!</v>
      </c>
      <c r="AN51" s="52">
        <v>10</v>
      </c>
      <c r="AO51" s="31">
        <v>40238</v>
      </c>
      <c r="AP51" s="9">
        <v>4.9899999900495845E-2</v>
      </c>
      <c r="AQ51" s="67" t="e">
        <f>IF(AN51&lt;'DADOS DOS EMPREENDIMENTOS'!AP$11,0,IF(AN51='DADOS DOS EMPREENDIMENTOS'!AP$11,SUM(AP$41:AP51)*(1-'DADOS DOS EMPREENDIMENTOS'!#REF!-'DADOS DOS EMPREENDIMENTOS'!#REF!)+'DADOS DOS EMPREENDIMENTOS'!#REF!,IF(AN51='DADOS DOS EMPREENDIMENTOS'!#REF!,'DADOS DOS EMPREENDIMENTOS'!#REF!,AP51*(1-'DADOS DOS EMPREENDIMENTOS'!#REF!-'DADOS DOS EMPREENDIMENTOS'!#REF!))))</f>
        <v>#REF!</v>
      </c>
      <c r="AS51" s="52">
        <v>10</v>
      </c>
      <c r="AT51" s="31">
        <v>40238</v>
      </c>
      <c r="AU51" s="9">
        <v>4.9899999900495845E-2</v>
      </c>
      <c r="AV51" s="67" t="e">
        <f>IF(AS51&lt;'DADOS DOS EMPREENDIMENTOS'!AU$11,0,IF(AS51='DADOS DOS EMPREENDIMENTOS'!AU$11,SUM(AU$41:AU51)*(1-'DADOS DOS EMPREENDIMENTOS'!#REF!-'DADOS DOS EMPREENDIMENTOS'!#REF!)+'DADOS DOS EMPREENDIMENTOS'!#REF!,IF(AS51='DADOS DOS EMPREENDIMENTOS'!#REF!,'DADOS DOS EMPREENDIMENTOS'!#REF!,AU51*(1-'DADOS DOS EMPREENDIMENTOS'!#REF!-'DADOS DOS EMPREENDIMENTOS'!#REF!))))</f>
        <v>#REF!</v>
      </c>
      <c r="AX51" s="52">
        <v>10</v>
      </c>
      <c r="AY51" s="31">
        <v>40238</v>
      </c>
      <c r="AZ51" s="9">
        <v>4.9899999900495845E-2</v>
      </c>
      <c r="BA51" s="67" t="e">
        <f>IF(AX51&lt;'DADOS DOS EMPREENDIMENTOS'!AZ$11,0,IF(AX51='DADOS DOS EMPREENDIMENTOS'!AZ$11,SUM(AZ$41:AZ51)*(1-'DADOS DOS EMPREENDIMENTOS'!#REF!-'DADOS DOS EMPREENDIMENTOS'!#REF!)+'DADOS DOS EMPREENDIMENTOS'!#REF!,IF(AX51='DADOS DOS EMPREENDIMENTOS'!#REF!,'DADOS DOS EMPREENDIMENTOS'!#REF!,AZ51*(1-'DADOS DOS EMPREENDIMENTOS'!#REF!-'DADOS DOS EMPREENDIMENTOS'!#REF!))))</f>
        <v>#REF!</v>
      </c>
      <c r="BC51" s="52">
        <v>10</v>
      </c>
      <c r="BD51" s="31">
        <v>40238</v>
      </c>
      <c r="BE51" s="9">
        <v>4.9899999900495845E-2</v>
      </c>
      <c r="BF51" s="67" t="e">
        <f>IF(BC51&lt;'DADOS DOS EMPREENDIMENTOS'!BE$11,0,IF(BC51='DADOS DOS EMPREENDIMENTOS'!BE$11,SUM(BE$41:BE51)*(1-'DADOS DOS EMPREENDIMENTOS'!#REF!-'DADOS DOS EMPREENDIMENTOS'!#REF!)+'DADOS DOS EMPREENDIMENTOS'!#REF!,IF(BC51='DADOS DOS EMPREENDIMENTOS'!#REF!,'DADOS DOS EMPREENDIMENTOS'!#REF!,BE51*(1-'DADOS DOS EMPREENDIMENTOS'!#REF!-'DADOS DOS EMPREENDIMENTOS'!#REF!))))</f>
        <v>#REF!</v>
      </c>
      <c r="BH51" s="52">
        <v>10</v>
      </c>
      <c r="BI51" s="31">
        <v>40238</v>
      </c>
      <c r="BJ51" s="9">
        <v>4.9899999900495845E-2</v>
      </c>
      <c r="BK51" s="67" t="e">
        <f>IF(BH51&lt;'DADOS DOS EMPREENDIMENTOS'!BJ$11,0,IF(BH51='DADOS DOS EMPREENDIMENTOS'!BJ$11,SUM(BJ$41:BJ51)*(1-'DADOS DOS EMPREENDIMENTOS'!#REF!-'DADOS DOS EMPREENDIMENTOS'!#REF!)+'DADOS DOS EMPREENDIMENTOS'!#REF!,IF(BH51='DADOS DOS EMPREENDIMENTOS'!#REF!,'DADOS DOS EMPREENDIMENTOS'!#REF!,BJ51*(1-'DADOS DOS EMPREENDIMENTOS'!#REF!-'DADOS DOS EMPREENDIMENTOS'!#REF!))))</f>
        <v>#REF!</v>
      </c>
      <c r="BM51" s="52">
        <v>10</v>
      </c>
      <c r="BN51" s="31">
        <v>40238</v>
      </c>
      <c r="BO51" s="9">
        <v>4.9899999900495845E-2</v>
      </c>
      <c r="BP51" s="67" t="e">
        <f>IF(BM51&lt;'DADOS DOS EMPREENDIMENTOS'!BO$11,0,IF(BM51='DADOS DOS EMPREENDIMENTOS'!BO$11,SUM(BO$41:BO51)*(1-'DADOS DOS EMPREENDIMENTOS'!#REF!-'DADOS DOS EMPREENDIMENTOS'!#REF!)+'DADOS DOS EMPREENDIMENTOS'!#REF!,IF(BM51='DADOS DOS EMPREENDIMENTOS'!BO$12,'DADOS DOS EMPREENDIMENTOS'!#REF!,BO51*(1-'DADOS DOS EMPREENDIMENTOS'!#REF!-'DADOS DOS EMPREENDIMENTOS'!#REF!))))</f>
        <v>#REF!</v>
      </c>
      <c r="BR51" s="52">
        <v>10</v>
      </c>
      <c r="BS51" s="31">
        <v>40238</v>
      </c>
      <c r="BT51" s="9">
        <v>4.9899999900495845E-2</v>
      </c>
      <c r="BU51" s="67" t="e">
        <f>IF(BR51&lt;'DADOS DOS EMPREENDIMENTOS'!BT$11,0,IF(BR51='DADOS DOS EMPREENDIMENTOS'!BT$11,SUM(BT$41:BT51)*(1-'DADOS DOS EMPREENDIMENTOS'!#REF!-'DADOS DOS EMPREENDIMENTOS'!#REF!)+'DADOS DOS EMPREENDIMENTOS'!#REF!,IF(BR51='DADOS DOS EMPREENDIMENTOS'!BT$12,'DADOS DOS EMPREENDIMENTOS'!#REF!,BT51*(1-'DADOS DOS EMPREENDIMENTOS'!#REF!-'DADOS DOS EMPREENDIMENTOS'!#REF!))))</f>
        <v>#REF!</v>
      </c>
      <c r="BW51" s="52">
        <v>10</v>
      </c>
      <c r="BX51" s="31">
        <v>40238</v>
      </c>
      <c r="BY51" s="9">
        <v>4.9899999900495845E-2</v>
      </c>
      <c r="BZ51" s="67" t="e">
        <f>IF(BW51&lt;'DADOS DOS EMPREENDIMENTOS'!BY$11,0,IF(BW51='DADOS DOS EMPREENDIMENTOS'!BY$11,SUM(BY$41:BY51)*(1-'DADOS DOS EMPREENDIMENTOS'!#REF!-'DADOS DOS EMPREENDIMENTOS'!#REF!)+'DADOS DOS EMPREENDIMENTOS'!#REF!,IF(BW51='DADOS DOS EMPREENDIMENTOS'!BY$12,'DADOS DOS EMPREENDIMENTOS'!#REF!,BY51*(1-'DADOS DOS EMPREENDIMENTOS'!#REF!-'DADOS DOS EMPREENDIMENTOS'!#REF!))))</f>
        <v>#REF!</v>
      </c>
      <c r="CB51" s="52">
        <v>10</v>
      </c>
      <c r="CC51" s="31">
        <v>40238</v>
      </c>
      <c r="CD51" s="9">
        <v>4.9899999900495845E-2</v>
      </c>
      <c r="CE51" s="67" t="e">
        <f>IF(CB51&lt;'DADOS DOS EMPREENDIMENTOS'!CD$11,0,IF(CB51='DADOS DOS EMPREENDIMENTOS'!CD$11,SUM(CD$41:CD51)*(1-'DADOS DOS EMPREENDIMENTOS'!#REF!-'DADOS DOS EMPREENDIMENTOS'!#REF!)+'DADOS DOS EMPREENDIMENTOS'!#REF!,IF(CB51='DADOS DOS EMPREENDIMENTOS'!CD$12,'DADOS DOS EMPREENDIMENTOS'!#REF!,CD51*(1-'DADOS DOS EMPREENDIMENTOS'!#REF!-'DADOS DOS EMPREENDIMENTOS'!#REF!))))</f>
        <v>#REF!</v>
      </c>
      <c r="CG51" s="52"/>
      <c r="CH51" s="31"/>
      <c r="CI51" s="9"/>
      <c r="CJ51" s="67"/>
    </row>
    <row r="52" spans="15:88" ht="12.75" customHeight="1" thickBot="1" x14ac:dyDescent="0.25">
      <c r="O52" s="43">
        <v>37</v>
      </c>
      <c r="P52" s="607" t="s">
        <v>348</v>
      </c>
      <c r="Q52" s="642">
        <f>VLOOKUP(P52,Apoio!C:E,2,0)</f>
        <v>240000</v>
      </c>
      <c r="R52" s="609">
        <v>240000</v>
      </c>
      <c r="S52" s="359">
        <v>5</v>
      </c>
      <c r="T52" s="52">
        <v>11</v>
      </c>
      <c r="U52" s="31"/>
      <c r="V52" s="9"/>
      <c r="W52" s="67"/>
      <c r="Y52" s="52">
        <v>11</v>
      </c>
      <c r="Z52" s="31"/>
      <c r="AA52" s="9"/>
      <c r="AB52" s="67"/>
      <c r="AD52" s="52">
        <v>11</v>
      </c>
      <c r="AE52" s="31">
        <v>40269</v>
      </c>
      <c r="AF52" s="9">
        <v>5.7199999961457637E-2</v>
      </c>
      <c r="AG52" s="67" t="e">
        <f>IF(AD52&lt;'DADOS DOS EMPREENDIMENTOS'!AF$11,0,IF(AD52='DADOS DOS EMPREENDIMENTOS'!AF$11,SUM(AF$41:AF52)*(1-'DADOS DOS EMPREENDIMENTOS'!#REF!-'DADOS DOS EMPREENDIMENTOS'!#REF!)+'DADOS DOS EMPREENDIMENTOS'!#REF!,IF(AD52='DADOS DOS EMPREENDIMENTOS'!#REF!,'DADOS DOS EMPREENDIMENTOS'!#REF!,AF52*(1-'DADOS DOS EMPREENDIMENTOS'!#REF!-'DADOS DOS EMPREENDIMENTOS'!#REF!))))</f>
        <v>#REF!</v>
      </c>
      <c r="AI52" s="52">
        <v>11</v>
      </c>
      <c r="AJ52" s="31">
        <v>40269</v>
      </c>
      <c r="AK52" s="9">
        <v>5.7199999961457637E-2</v>
      </c>
      <c r="AL52" s="67" t="e">
        <f>IF(AI52&lt;'DADOS DOS EMPREENDIMENTOS'!AK$11,0,IF(AI52='DADOS DOS EMPREENDIMENTOS'!AK$11,SUM(AK$41:AK52)*(1-'DADOS DOS EMPREENDIMENTOS'!#REF!-'DADOS DOS EMPREENDIMENTOS'!#REF!)+'DADOS DOS EMPREENDIMENTOS'!#REF!,IF(AI52='DADOS DOS EMPREENDIMENTOS'!#REF!,'DADOS DOS EMPREENDIMENTOS'!#REF!,AK52*(1-'DADOS DOS EMPREENDIMENTOS'!#REF!-'DADOS DOS EMPREENDIMENTOS'!#REF!))))</f>
        <v>#REF!</v>
      </c>
      <c r="AN52" s="52">
        <v>11</v>
      </c>
      <c r="AO52" s="31">
        <v>40269</v>
      </c>
      <c r="AP52" s="9">
        <v>5.7199999961457637E-2</v>
      </c>
      <c r="AQ52" s="67" t="e">
        <f>IF(AN52&lt;'DADOS DOS EMPREENDIMENTOS'!AP$11,0,IF(AN52='DADOS DOS EMPREENDIMENTOS'!AP$11,SUM(AP$41:AP52)*(1-'DADOS DOS EMPREENDIMENTOS'!#REF!-'DADOS DOS EMPREENDIMENTOS'!#REF!)+'DADOS DOS EMPREENDIMENTOS'!#REF!,IF(AN52='DADOS DOS EMPREENDIMENTOS'!#REF!,'DADOS DOS EMPREENDIMENTOS'!#REF!,AP52*(1-'DADOS DOS EMPREENDIMENTOS'!#REF!-'DADOS DOS EMPREENDIMENTOS'!#REF!))))</f>
        <v>#REF!</v>
      </c>
      <c r="AS52" s="52">
        <v>11</v>
      </c>
      <c r="AT52" s="31">
        <v>40269</v>
      </c>
      <c r="AU52" s="9">
        <v>5.7199999961457637E-2</v>
      </c>
      <c r="AV52" s="67" t="e">
        <f>IF(AS52&lt;'DADOS DOS EMPREENDIMENTOS'!AU$11,0,IF(AS52='DADOS DOS EMPREENDIMENTOS'!AU$11,SUM(AU$41:AU52)*(1-'DADOS DOS EMPREENDIMENTOS'!#REF!-'DADOS DOS EMPREENDIMENTOS'!#REF!)+'DADOS DOS EMPREENDIMENTOS'!#REF!,IF(AS52='DADOS DOS EMPREENDIMENTOS'!#REF!,'DADOS DOS EMPREENDIMENTOS'!#REF!,AU52*(1-'DADOS DOS EMPREENDIMENTOS'!#REF!-'DADOS DOS EMPREENDIMENTOS'!#REF!))))</f>
        <v>#REF!</v>
      </c>
      <c r="AX52" s="52">
        <v>11</v>
      </c>
      <c r="AY52" s="31">
        <v>40269</v>
      </c>
      <c r="AZ52" s="9">
        <v>5.7199999961457637E-2</v>
      </c>
      <c r="BA52" s="67" t="e">
        <f>IF(AX52&lt;'DADOS DOS EMPREENDIMENTOS'!AZ$11,0,IF(AX52='DADOS DOS EMPREENDIMENTOS'!AZ$11,SUM(AZ$41:AZ52)*(1-'DADOS DOS EMPREENDIMENTOS'!#REF!-'DADOS DOS EMPREENDIMENTOS'!#REF!)+'DADOS DOS EMPREENDIMENTOS'!#REF!,IF(AX52='DADOS DOS EMPREENDIMENTOS'!#REF!,'DADOS DOS EMPREENDIMENTOS'!#REF!,AZ52*(1-'DADOS DOS EMPREENDIMENTOS'!#REF!-'DADOS DOS EMPREENDIMENTOS'!#REF!))))</f>
        <v>#REF!</v>
      </c>
      <c r="BC52" s="52">
        <v>11</v>
      </c>
      <c r="BD52" s="31">
        <v>40269</v>
      </c>
      <c r="BE52" s="9">
        <v>5.7199999961457637E-2</v>
      </c>
      <c r="BF52" s="67" t="e">
        <f>IF(BC52&lt;'DADOS DOS EMPREENDIMENTOS'!BE$11,0,IF(BC52='DADOS DOS EMPREENDIMENTOS'!BE$11,SUM(BE$41:BE52)*(1-'DADOS DOS EMPREENDIMENTOS'!#REF!-'DADOS DOS EMPREENDIMENTOS'!#REF!)+'DADOS DOS EMPREENDIMENTOS'!#REF!,IF(BC52='DADOS DOS EMPREENDIMENTOS'!#REF!,'DADOS DOS EMPREENDIMENTOS'!#REF!,BE52*(1-'DADOS DOS EMPREENDIMENTOS'!#REF!-'DADOS DOS EMPREENDIMENTOS'!#REF!))))</f>
        <v>#REF!</v>
      </c>
      <c r="BH52" s="52">
        <v>11</v>
      </c>
      <c r="BI52" s="31">
        <v>40269</v>
      </c>
      <c r="BJ52" s="9">
        <v>5.7199999961457637E-2</v>
      </c>
      <c r="BK52" s="67" t="e">
        <f>IF(BH52&lt;'DADOS DOS EMPREENDIMENTOS'!BJ$11,0,IF(BH52='DADOS DOS EMPREENDIMENTOS'!BJ$11,SUM(BJ$41:BJ52)*(1-'DADOS DOS EMPREENDIMENTOS'!#REF!-'DADOS DOS EMPREENDIMENTOS'!#REF!)+'DADOS DOS EMPREENDIMENTOS'!#REF!,IF(BH52='DADOS DOS EMPREENDIMENTOS'!#REF!,'DADOS DOS EMPREENDIMENTOS'!#REF!,BJ52*(1-'DADOS DOS EMPREENDIMENTOS'!#REF!-'DADOS DOS EMPREENDIMENTOS'!#REF!))))</f>
        <v>#REF!</v>
      </c>
      <c r="BM52" s="52">
        <v>11</v>
      </c>
      <c r="BN52" s="31">
        <v>40269</v>
      </c>
      <c r="BO52" s="9">
        <v>5.7199999961457637E-2</v>
      </c>
      <c r="BP52" s="67" t="e">
        <f>IF(BM52&lt;'DADOS DOS EMPREENDIMENTOS'!BO$11,0,IF(BM52='DADOS DOS EMPREENDIMENTOS'!BO$11,SUM(BO$41:BO52)*(1-'DADOS DOS EMPREENDIMENTOS'!#REF!-'DADOS DOS EMPREENDIMENTOS'!#REF!)+'DADOS DOS EMPREENDIMENTOS'!#REF!,IF(BM52='DADOS DOS EMPREENDIMENTOS'!BO$12,'DADOS DOS EMPREENDIMENTOS'!#REF!,BO52*(1-'DADOS DOS EMPREENDIMENTOS'!#REF!-'DADOS DOS EMPREENDIMENTOS'!#REF!))))</f>
        <v>#REF!</v>
      </c>
      <c r="BR52" s="52">
        <v>11</v>
      </c>
      <c r="BS52" s="31">
        <v>40269</v>
      </c>
      <c r="BT52" s="9">
        <v>5.7199999961457637E-2</v>
      </c>
      <c r="BU52" s="67" t="e">
        <f>IF(BR52&lt;'DADOS DOS EMPREENDIMENTOS'!BT$11,0,IF(BR52='DADOS DOS EMPREENDIMENTOS'!BT$11,SUM(BT$41:BT52)*(1-'DADOS DOS EMPREENDIMENTOS'!#REF!-'DADOS DOS EMPREENDIMENTOS'!#REF!)+'DADOS DOS EMPREENDIMENTOS'!#REF!,IF(BR52='DADOS DOS EMPREENDIMENTOS'!BT$12,'DADOS DOS EMPREENDIMENTOS'!#REF!,BT52*(1-'DADOS DOS EMPREENDIMENTOS'!#REF!-'DADOS DOS EMPREENDIMENTOS'!#REF!))))</f>
        <v>#REF!</v>
      </c>
      <c r="BW52" s="52">
        <v>11</v>
      </c>
      <c r="BX52" s="31">
        <v>40269</v>
      </c>
      <c r="BY52" s="9">
        <v>5.7199999961457637E-2</v>
      </c>
      <c r="BZ52" s="67" t="e">
        <f>IF(BW52&lt;'DADOS DOS EMPREENDIMENTOS'!BY$11,0,IF(BW52='DADOS DOS EMPREENDIMENTOS'!BY$11,SUM(BY$41:BY52)*(1-'DADOS DOS EMPREENDIMENTOS'!#REF!-'DADOS DOS EMPREENDIMENTOS'!#REF!)+'DADOS DOS EMPREENDIMENTOS'!#REF!,IF(BW52='DADOS DOS EMPREENDIMENTOS'!BY$12,'DADOS DOS EMPREENDIMENTOS'!#REF!,BY52*(1-'DADOS DOS EMPREENDIMENTOS'!#REF!-'DADOS DOS EMPREENDIMENTOS'!#REF!))))</f>
        <v>#REF!</v>
      </c>
      <c r="CB52" s="52">
        <v>11</v>
      </c>
      <c r="CC52" s="31">
        <v>40269</v>
      </c>
      <c r="CD52" s="9">
        <v>5.7199999961457637E-2</v>
      </c>
      <c r="CE52" s="67" t="e">
        <f>IF(CB52&lt;'DADOS DOS EMPREENDIMENTOS'!CD$11,0,IF(CB52='DADOS DOS EMPREENDIMENTOS'!CD$11,SUM(CD$41:CD52)*(1-'DADOS DOS EMPREENDIMENTOS'!#REF!-'DADOS DOS EMPREENDIMENTOS'!#REF!)+'DADOS DOS EMPREENDIMENTOS'!#REF!,IF(CB52='DADOS DOS EMPREENDIMENTOS'!CD$12,'DADOS DOS EMPREENDIMENTOS'!#REF!,CD52*(1-'DADOS DOS EMPREENDIMENTOS'!#REF!-'DADOS DOS EMPREENDIMENTOS'!#REF!))))</f>
        <v>#REF!</v>
      </c>
      <c r="CG52" s="52"/>
      <c r="CH52" s="31"/>
      <c r="CI52" s="9"/>
      <c r="CJ52" s="67"/>
    </row>
    <row r="53" spans="15:88" ht="12.75" customHeight="1" thickBot="1" x14ac:dyDescent="0.25">
      <c r="O53" s="45">
        <v>38</v>
      </c>
      <c r="P53" s="607" t="s">
        <v>349</v>
      </c>
      <c r="Q53" s="642">
        <f>VLOOKUP(P53,Apoio!C:E,2,0)</f>
        <v>240000</v>
      </c>
      <c r="R53" s="609">
        <v>240000</v>
      </c>
      <c r="S53" s="359">
        <v>5</v>
      </c>
      <c r="T53" s="52">
        <v>12</v>
      </c>
      <c r="U53" s="31"/>
      <c r="V53" s="9"/>
      <c r="W53" s="67"/>
      <c r="Y53" s="52">
        <v>12</v>
      </c>
      <c r="Z53" s="31"/>
      <c r="AA53" s="9"/>
      <c r="AB53" s="67"/>
      <c r="AD53" s="52">
        <v>12</v>
      </c>
      <c r="AE53" s="31">
        <v>40299</v>
      </c>
      <c r="AF53" s="9">
        <v>6.7300000137283295E-2</v>
      </c>
      <c r="AG53" s="67" t="e">
        <f>IF(AD53&lt;'DADOS DOS EMPREENDIMENTOS'!AF$11,0,IF(AD53='DADOS DOS EMPREENDIMENTOS'!AF$11,SUM(AF$41:AF53)*(1-'DADOS DOS EMPREENDIMENTOS'!#REF!-'DADOS DOS EMPREENDIMENTOS'!#REF!)+'DADOS DOS EMPREENDIMENTOS'!#REF!,IF(AD53='DADOS DOS EMPREENDIMENTOS'!#REF!,'DADOS DOS EMPREENDIMENTOS'!#REF!,AF53*(1-'DADOS DOS EMPREENDIMENTOS'!#REF!-'DADOS DOS EMPREENDIMENTOS'!#REF!))))</f>
        <v>#REF!</v>
      </c>
      <c r="AI53" s="52">
        <v>12</v>
      </c>
      <c r="AJ53" s="31">
        <v>40299</v>
      </c>
      <c r="AK53" s="9">
        <v>6.7300000137283295E-2</v>
      </c>
      <c r="AL53" s="67" t="e">
        <f>IF(AI53&lt;'DADOS DOS EMPREENDIMENTOS'!AK$11,0,IF(AI53='DADOS DOS EMPREENDIMENTOS'!AK$11,SUM(AK$41:AK53)*(1-'DADOS DOS EMPREENDIMENTOS'!#REF!-'DADOS DOS EMPREENDIMENTOS'!#REF!)+'DADOS DOS EMPREENDIMENTOS'!#REF!,IF(AI53='DADOS DOS EMPREENDIMENTOS'!#REF!,'DADOS DOS EMPREENDIMENTOS'!#REF!,AK53*(1-'DADOS DOS EMPREENDIMENTOS'!#REF!-'DADOS DOS EMPREENDIMENTOS'!#REF!))))</f>
        <v>#REF!</v>
      </c>
      <c r="AN53" s="52">
        <v>12</v>
      </c>
      <c r="AO53" s="31">
        <v>40299</v>
      </c>
      <c r="AP53" s="9">
        <v>6.7300000137283295E-2</v>
      </c>
      <c r="AQ53" s="67" t="e">
        <f>IF(AN53&lt;'DADOS DOS EMPREENDIMENTOS'!AP$11,0,IF(AN53='DADOS DOS EMPREENDIMENTOS'!AP$11,SUM(AP$41:AP53)*(1-'DADOS DOS EMPREENDIMENTOS'!#REF!-'DADOS DOS EMPREENDIMENTOS'!#REF!)+'DADOS DOS EMPREENDIMENTOS'!#REF!,IF(AN53='DADOS DOS EMPREENDIMENTOS'!#REF!,'DADOS DOS EMPREENDIMENTOS'!#REF!,AP53*(1-'DADOS DOS EMPREENDIMENTOS'!#REF!-'DADOS DOS EMPREENDIMENTOS'!#REF!))))</f>
        <v>#REF!</v>
      </c>
      <c r="AS53" s="52">
        <v>12</v>
      </c>
      <c r="AT53" s="31">
        <v>40299</v>
      </c>
      <c r="AU53" s="9">
        <v>6.7300000137283295E-2</v>
      </c>
      <c r="AV53" s="67" t="e">
        <f>IF(AS53&lt;'DADOS DOS EMPREENDIMENTOS'!AU$11,0,IF(AS53='DADOS DOS EMPREENDIMENTOS'!AU$11,SUM(AU$41:AU53)*(1-'DADOS DOS EMPREENDIMENTOS'!#REF!-'DADOS DOS EMPREENDIMENTOS'!#REF!)+'DADOS DOS EMPREENDIMENTOS'!#REF!,IF(AS53='DADOS DOS EMPREENDIMENTOS'!#REF!,'DADOS DOS EMPREENDIMENTOS'!#REF!,AU53*(1-'DADOS DOS EMPREENDIMENTOS'!#REF!-'DADOS DOS EMPREENDIMENTOS'!#REF!))))</f>
        <v>#REF!</v>
      </c>
      <c r="AX53" s="52">
        <v>12</v>
      </c>
      <c r="AY53" s="31">
        <v>40299</v>
      </c>
      <c r="AZ53" s="9">
        <v>6.7300000137283295E-2</v>
      </c>
      <c r="BA53" s="67" t="e">
        <f>IF(AX53&lt;'DADOS DOS EMPREENDIMENTOS'!AZ$11,0,IF(AX53='DADOS DOS EMPREENDIMENTOS'!AZ$11,SUM(AZ$41:AZ53)*(1-'DADOS DOS EMPREENDIMENTOS'!#REF!-'DADOS DOS EMPREENDIMENTOS'!#REF!)+'DADOS DOS EMPREENDIMENTOS'!#REF!,IF(AX53='DADOS DOS EMPREENDIMENTOS'!#REF!,'DADOS DOS EMPREENDIMENTOS'!#REF!,AZ53*(1-'DADOS DOS EMPREENDIMENTOS'!#REF!-'DADOS DOS EMPREENDIMENTOS'!#REF!))))</f>
        <v>#REF!</v>
      </c>
      <c r="BC53" s="52">
        <v>12</v>
      </c>
      <c r="BD53" s="31">
        <v>40299</v>
      </c>
      <c r="BE53" s="9">
        <v>6.7300000137283295E-2</v>
      </c>
      <c r="BF53" s="67" t="e">
        <f>IF(BC53&lt;'DADOS DOS EMPREENDIMENTOS'!BE$11,0,IF(BC53='DADOS DOS EMPREENDIMENTOS'!BE$11,SUM(BE$41:BE53)*(1-'DADOS DOS EMPREENDIMENTOS'!#REF!-'DADOS DOS EMPREENDIMENTOS'!#REF!)+'DADOS DOS EMPREENDIMENTOS'!#REF!,IF(BC53='DADOS DOS EMPREENDIMENTOS'!#REF!,'DADOS DOS EMPREENDIMENTOS'!#REF!,BE53*(1-'DADOS DOS EMPREENDIMENTOS'!#REF!-'DADOS DOS EMPREENDIMENTOS'!#REF!))))</f>
        <v>#REF!</v>
      </c>
      <c r="BH53" s="52">
        <v>12</v>
      </c>
      <c r="BI53" s="31">
        <v>40299</v>
      </c>
      <c r="BJ53" s="9">
        <v>6.7300000137283295E-2</v>
      </c>
      <c r="BK53" s="67" t="e">
        <f>IF(BH53&lt;'DADOS DOS EMPREENDIMENTOS'!BJ$11,0,IF(BH53='DADOS DOS EMPREENDIMENTOS'!BJ$11,SUM(BJ$41:BJ53)*(1-'DADOS DOS EMPREENDIMENTOS'!#REF!-'DADOS DOS EMPREENDIMENTOS'!#REF!)+'DADOS DOS EMPREENDIMENTOS'!#REF!,IF(BH53='DADOS DOS EMPREENDIMENTOS'!#REF!,'DADOS DOS EMPREENDIMENTOS'!#REF!,BJ53*(1-'DADOS DOS EMPREENDIMENTOS'!#REF!-'DADOS DOS EMPREENDIMENTOS'!#REF!))))</f>
        <v>#REF!</v>
      </c>
      <c r="BM53" s="52">
        <v>12</v>
      </c>
      <c r="BN53" s="31">
        <v>40299</v>
      </c>
      <c r="BO53" s="9">
        <v>6.7300000137283295E-2</v>
      </c>
      <c r="BP53" s="67" t="e">
        <f>IF(BM53&lt;'DADOS DOS EMPREENDIMENTOS'!BO$11,0,IF(BM53='DADOS DOS EMPREENDIMENTOS'!BO$11,SUM(BO$41:BO53)*(1-'DADOS DOS EMPREENDIMENTOS'!#REF!-'DADOS DOS EMPREENDIMENTOS'!#REF!)+'DADOS DOS EMPREENDIMENTOS'!#REF!,IF(BM53='DADOS DOS EMPREENDIMENTOS'!BO$12,'DADOS DOS EMPREENDIMENTOS'!#REF!,BO53*(1-'DADOS DOS EMPREENDIMENTOS'!#REF!-'DADOS DOS EMPREENDIMENTOS'!#REF!))))</f>
        <v>#REF!</v>
      </c>
      <c r="BR53" s="52">
        <v>12</v>
      </c>
      <c r="BS53" s="31">
        <v>40299</v>
      </c>
      <c r="BT53" s="9">
        <v>6.7300000137283295E-2</v>
      </c>
      <c r="BU53" s="67" t="e">
        <f>IF(BR53&lt;'DADOS DOS EMPREENDIMENTOS'!BT$11,0,IF(BR53='DADOS DOS EMPREENDIMENTOS'!BT$11,SUM(BT$41:BT53)*(1-'DADOS DOS EMPREENDIMENTOS'!#REF!-'DADOS DOS EMPREENDIMENTOS'!#REF!)+'DADOS DOS EMPREENDIMENTOS'!#REF!,IF(BR53='DADOS DOS EMPREENDIMENTOS'!BT$12,'DADOS DOS EMPREENDIMENTOS'!#REF!,BT53*(1-'DADOS DOS EMPREENDIMENTOS'!#REF!-'DADOS DOS EMPREENDIMENTOS'!#REF!))))</f>
        <v>#REF!</v>
      </c>
      <c r="BW53" s="52">
        <v>12</v>
      </c>
      <c r="BX53" s="31">
        <v>40299</v>
      </c>
      <c r="BY53" s="9">
        <v>6.7300000137283295E-2</v>
      </c>
      <c r="BZ53" s="67" t="e">
        <f>IF(BW53&lt;'DADOS DOS EMPREENDIMENTOS'!BY$11,0,IF(BW53='DADOS DOS EMPREENDIMENTOS'!BY$11,SUM(BY$41:BY53)*(1-'DADOS DOS EMPREENDIMENTOS'!#REF!-'DADOS DOS EMPREENDIMENTOS'!#REF!)+'DADOS DOS EMPREENDIMENTOS'!#REF!,IF(BW53='DADOS DOS EMPREENDIMENTOS'!BY$12,'DADOS DOS EMPREENDIMENTOS'!#REF!,BY53*(1-'DADOS DOS EMPREENDIMENTOS'!#REF!-'DADOS DOS EMPREENDIMENTOS'!#REF!))))</f>
        <v>#REF!</v>
      </c>
      <c r="CB53" s="52">
        <v>12</v>
      </c>
      <c r="CC53" s="31">
        <v>40299</v>
      </c>
      <c r="CD53" s="9">
        <v>6.7300000137283295E-2</v>
      </c>
      <c r="CE53" s="67" t="e">
        <f>IF(CB53&lt;'DADOS DOS EMPREENDIMENTOS'!CD$11,0,IF(CB53='DADOS DOS EMPREENDIMENTOS'!CD$11,SUM(CD$41:CD53)*(1-'DADOS DOS EMPREENDIMENTOS'!#REF!-'DADOS DOS EMPREENDIMENTOS'!#REF!)+'DADOS DOS EMPREENDIMENTOS'!#REF!,IF(CB53='DADOS DOS EMPREENDIMENTOS'!CD$12,'DADOS DOS EMPREENDIMENTOS'!#REF!,CD53*(1-'DADOS DOS EMPREENDIMENTOS'!#REF!-'DADOS DOS EMPREENDIMENTOS'!#REF!))))</f>
        <v>#REF!</v>
      </c>
      <c r="CG53" s="52"/>
      <c r="CH53" s="31"/>
      <c r="CI53" s="9"/>
      <c r="CJ53" s="67"/>
    </row>
    <row r="54" spans="15:88" ht="12.75" customHeight="1" thickBot="1" x14ac:dyDescent="0.25">
      <c r="O54" s="43">
        <v>39</v>
      </c>
      <c r="P54" s="607" t="s">
        <v>350</v>
      </c>
      <c r="Q54" s="642">
        <f>VLOOKUP(P54,Apoio!C:E,2,0)</f>
        <v>240000</v>
      </c>
      <c r="R54" s="609">
        <v>240000</v>
      </c>
      <c r="S54" s="359">
        <v>5</v>
      </c>
      <c r="T54" s="52">
        <v>13</v>
      </c>
      <c r="U54" s="31"/>
      <c r="V54" s="9"/>
      <c r="W54" s="67"/>
      <c r="Y54" s="52">
        <v>13</v>
      </c>
      <c r="Z54" s="31"/>
      <c r="AA54" s="9"/>
      <c r="AB54" s="67"/>
      <c r="AD54" s="52">
        <v>13</v>
      </c>
      <c r="AE54" s="31">
        <v>40330</v>
      </c>
      <c r="AF54" s="9">
        <v>8.6299999962697868E-2</v>
      </c>
      <c r="AG54" s="67" t="e">
        <f>IF(AD54&lt;'DADOS DOS EMPREENDIMENTOS'!AF$11,0,IF(AD54='DADOS DOS EMPREENDIMENTOS'!AF$11,SUM(AF$41:AF54)*(1-'DADOS DOS EMPREENDIMENTOS'!#REF!-'DADOS DOS EMPREENDIMENTOS'!#REF!)+'DADOS DOS EMPREENDIMENTOS'!#REF!,IF(AD54='DADOS DOS EMPREENDIMENTOS'!#REF!,'DADOS DOS EMPREENDIMENTOS'!#REF!,AF54*(1-'DADOS DOS EMPREENDIMENTOS'!#REF!-'DADOS DOS EMPREENDIMENTOS'!#REF!))))</f>
        <v>#REF!</v>
      </c>
      <c r="AI54" s="52">
        <v>13</v>
      </c>
      <c r="AJ54" s="31">
        <v>40330</v>
      </c>
      <c r="AK54" s="9">
        <v>8.6299999962697868E-2</v>
      </c>
      <c r="AL54" s="67" t="e">
        <f>IF(AI54&lt;'DADOS DOS EMPREENDIMENTOS'!AK$11,0,IF(AI54='DADOS DOS EMPREENDIMENTOS'!AK$11,SUM(AK$41:AK54)*(1-'DADOS DOS EMPREENDIMENTOS'!#REF!-'DADOS DOS EMPREENDIMENTOS'!#REF!)+'DADOS DOS EMPREENDIMENTOS'!#REF!,IF(AI54='DADOS DOS EMPREENDIMENTOS'!#REF!,'DADOS DOS EMPREENDIMENTOS'!#REF!,AK54*(1-'DADOS DOS EMPREENDIMENTOS'!#REF!-'DADOS DOS EMPREENDIMENTOS'!#REF!))))</f>
        <v>#REF!</v>
      </c>
      <c r="AN54" s="52">
        <v>13</v>
      </c>
      <c r="AO54" s="31">
        <v>40330</v>
      </c>
      <c r="AP54" s="9">
        <v>8.6299999962697868E-2</v>
      </c>
      <c r="AQ54" s="67" t="e">
        <f>IF(AN54&lt;'DADOS DOS EMPREENDIMENTOS'!AP$11,0,IF(AN54='DADOS DOS EMPREENDIMENTOS'!AP$11,SUM(AP$41:AP54)*(1-'DADOS DOS EMPREENDIMENTOS'!#REF!-'DADOS DOS EMPREENDIMENTOS'!#REF!)+'DADOS DOS EMPREENDIMENTOS'!#REF!,IF(AN54='DADOS DOS EMPREENDIMENTOS'!#REF!,'DADOS DOS EMPREENDIMENTOS'!#REF!,AP54*(1-'DADOS DOS EMPREENDIMENTOS'!#REF!-'DADOS DOS EMPREENDIMENTOS'!#REF!))))</f>
        <v>#REF!</v>
      </c>
      <c r="AS54" s="52">
        <v>13</v>
      </c>
      <c r="AT54" s="31">
        <v>40330</v>
      </c>
      <c r="AU54" s="9">
        <v>8.6299999962697868E-2</v>
      </c>
      <c r="AV54" s="67" t="e">
        <f>IF(AS54&lt;'DADOS DOS EMPREENDIMENTOS'!AU$11,0,IF(AS54='DADOS DOS EMPREENDIMENTOS'!AU$11,SUM(AU$41:AU54)*(1-'DADOS DOS EMPREENDIMENTOS'!#REF!-'DADOS DOS EMPREENDIMENTOS'!#REF!)+'DADOS DOS EMPREENDIMENTOS'!#REF!,IF(AS54='DADOS DOS EMPREENDIMENTOS'!#REF!,'DADOS DOS EMPREENDIMENTOS'!#REF!,AU54*(1-'DADOS DOS EMPREENDIMENTOS'!#REF!-'DADOS DOS EMPREENDIMENTOS'!#REF!))))</f>
        <v>#REF!</v>
      </c>
      <c r="AX54" s="52">
        <v>13</v>
      </c>
      <c r="AY54" s="31">
        <v>40330</v>
      </c>
      <c r="AZ54" s="9">
        <v>8.6299999962697868E-2</v>
      </c>
      <c r="BA54" s="67" t="e">
        <f>IF(AX54&lt;'DADOS DOS EMPREENDIMENTOS'!AZ$11,0,IF(AX54='DADOS DOS EMPREENDIMENTOS'!AZ$11,SUM(AZ$41:AZ54)*(1-'DADOS DOS EMPREENDIMENTOS'!#REF!-'DADOS DOS EMPREENDIMENTOS'!#REF!)+'DADOS DOS EMPREENDIMENTOS'!#REF!,IF(AX54='DADOS DOS EMPREENDIMENTOS'!#REF!,'DADOS DOS EMPREENDIMENTOS'!#REF!,AZ54*(1-'DADOS DOS EMPREENDIMENTOS'!#REF!-'DADOS DOS EMPREENDIMENTOS'!#REF!))))</f>
        <v>#REF!</v>
      </c>
      <c r="BC54" s="52">
        <v>13</v>
      </c>
      <c r="BD54" s="31">
        <v>40330</v>
      </c>
      <c r="BE54" s="9">
        <v>8.6299999962697868E-2</v>
      </c>
      <c r="BF54" s="67" t="e">
        <f>IF(BC54&lt;'DADOS DOS EMPREENDIMENTOS'!BE$11,0,IF(BC54='DADOS DOS EMPREENDIMENTOS'!BE$11,SUM(BE$41:BE54)*(1-'DADOS DOS EMPREENDIMENTOS'!#REF!-'DADOS DOS EMPREENDIMENTOS'!#REF!)+'DADOS DOS EMPREENDIMENTOS'!#REF!,IF(BC54='DADOS DOS EMPREENDIMENTOS'!#REF!,'DADOS DOS EMPREENDIMENTOS'!#REF!,BE54*(1-'DADOS DOS EMPREENDIMENTOS'!#REF!-'DADOS DOS EMPREENDIMENTOS'!#REF!))))</f>
        <v>#REF!</v>
      </c>
      <c r="BH54" s="52">
        <v>13</v>
      </c>
      <c r="BI54" s="31">
        <v>40330</v>
      </c>
      <c r="BJ54" s="9">
        <v>8.6299999962697868E-2</v>
      </c>
      <c r="BK54" s="67" t="e">
        <f>IF(BH54&lt;'DADOS DOS EMPREENDIMENTOS'!BJ$11,0,IF(BH54='DADOS DOS EMPREENDIMENTOS'!BJ$11,SUM(BJ$41:BJ54)*(1-'DADOS DOS EMPREENDIMENTOS'!#REF!-'DADOS DOS EMPREENDIMENTOS'!#REF!)+'DADOS DOS EMPREENDIMENTOS'!#REF!,IF(BH54='DADOS DOS EMPREENDIMENTOS'!#REF!,'DADOS DOS EMPREENDIMENTOS'!#REF!,BJ54*(1-'DADOS DOS EMPREENDIMENTOS'!#REF!-'DADOS DOS EMPREENDIMENTOS'!#REF!))))</f>
        <v>#REF!</v>
      </c>
      <c r="BM54" s="52">
        <v>13</v>
      </c>
      <c r="BN54" s="31">
        <v>40330</v>
      </c>
      <c r="BO54" s="9">
        <v>8.6299999962697868E-2</v>
      </c>
      <c r="BP54" s="67" t="e">
        <f>IF(BM54&lt;'DADOS DOS EMPREENDIMENTOS'!BO$11,0,IF(BM54='DADOS DOS EMPREENDIMENTOS'!BO$11,SUM(BO$41:BO54)*(1-'DADOS DOS EMPREENDIMENTOS'!#REF!-'DADOS DOS EMPREENDIMENTOS'!#REF!)+'DADOS DOS EMPREENDIMENTOS'!#REF!,IF(BM54='DADOS DOS EMPREENDIMENTOS'!BO$12,'DADOS DOS EMPREENDIMENTOS'!#REF!,BO54*(1-'DADOS DOS EMPREENDIMENTOS'!#REF!-'DADOS DOS EMPREENDIMENTOS'!#REF!))))</f>
        <v>#REF!</v>
      </c>
      <c r="BR54" s="52">
        <v>13</v>
      </c>
      <c r="BS54" s="31">
        <v>40330</v>
      </c>
      <c r="BT54" s="9">
        <v>8.6299999962697868E-2</v>
      </c>
      <c r="BU54" s="67" t="e">
        <f>IF(BR54&lt;'DADOS DOS EMPREENDIMENTOS'!BT$11,0,IF(BR54='DADOS DOS EMPREENDIMENTOS'!BT$11,SUM(BT$41:BT54)*(1-'DADOS DOS EMPREENDIMENTOS'!#REF!-'DADOS DOS EMPREENDIMENTOS'!#REF!)+'DADOS DOS EMPREENDIMENTOS'!#REF!,IF(BR54='DADOS DOS EMPREENDIMENTOS'!BT$12,'DADOS DOS EMPREENDIMENTOS'!#REF!,BT54*(1-'DADOS DOS EMPREENDIMENTOS'!#REF!-'DADOS DOS EMPREENDIMENTOS'!#REF!))))</f>
        <v>#REF!</v>
      </c>
      <c r="BW54" s="52">
        <v>13</v>
      </c>
      <c r="BX54" s="31">
        <v>40330</v>
      </c>
      <c r="BY54" s="9">
        <v>8.6299999962697868E-2</v>
      </c>
      <c r="BZ54" s="67" t="e">
        <f>IF(BW54&lt;'DADOS DOS EMPREENDIMENTOS'!BY$11,0,IF(BW54='DADOS DOS EMPREENDIMENTOS'!BY$11,SUM(BY$41:BY54)*(1-'DADOS DOS EMPREENDIMENTOS'!#REF!-'DADOS DOS EMPREENDIMENTOS'!#REF!)+'DADOS DOS EMPREENDIMENTOS'!#REF!,IF(BW54='DADOS DOS EMPREENDIMENTOS'!BY$12,'DADOS DOS EMPREENDIMENTOS'!#REF!,BY54*(1-'DADOS DOS EMPREENDIMENTOS'!#REF!-'DADOS DOS EMPREENDIMENTOS'!#REF!))))</f>
        <v>#REF!</v>
      </c>
      <c r="CB54" s="52">
        <v>13</v>
      </c>
      <c r="CC54" s="31">
        <v>40330</v>
      </c>
      <c r="CD54" s="9">
        <v>8.6299999962697868E-2</v>
      </c>
      <c r="CE54" s="67" t="e">
        <f>IF(CB54&lt;'DADOS DOS EMPREENDIMENTOS'!CD$11,0,IF(CB54='DADOS DOS EMPREENDIMENTOS'!CD$11,SUM(CD$41:CD54)*(1-'DADOS DOS EMPREENDIMENTOS'!#REF!-'DADOS DOS EMPREENDIMENTOS'!#REF!)+'DADOS DOS EMPREENDIMENTOS'!#REF!,IF(CB54='DADOS DOS EMPREENDIMENTOS'!CD$12,'DADOS DOS EMPREENDIMENTOS'!#REF!,CD54*(1-'DADOS DOS EMPREENDIMENTOS'!#REF!-'DADOS DOS EMPREENDIMENTOS'!#REF!))))</f>
        <v>#REF!</v>
      </c>
      <c r="CG54" s="52"/>
      <c r="CH54" s="31"/>
      <c r="CI54" s="9"/>
      <c r="CJ54" s="67"/>
    </row>
    <row r="55" spans="15:88" ht="12.75" customHeight="1" thickBot="1" x14ac:dyDescent="0.25">
      <c r="O55" s="45">
        <v>40</v>
      </c>
      <c r="P55" s="607" t="s">
        <v>351</v>
      </c>
      <c r="Q55" s="642">
        <f>VLOOKUP(P55,Apoio!C:E,2,0)</f>
        <v>240000</v>
      </c>
      <c r="R55" s="609">
        <v>240000</v>
      </c>
      <c r="S55" s="359">
        <v>5</v>
      </c>
      <c r="T55" s="52">
        <v>14</v>
      </c>
      <c r="U55" s="31"/>
      <c r="V55" s="9"/>
      <c r="W55" s="67"/>
      <c r="Y55" s="52">
        <v>14</v>
      </c>
      <c r="Z55" s="31"/>
      <c r="AA55" s="9"/>
      <c r="AB55" s="67"/>
      <c r="AD55" s="52">
        <v>14</v>
      </c>
      <c r="AE55" s="31">
        <v>40360</v>
      </c>
      <c r="AF55" s="9">
        <v>9.7599999710741514E-2</v>
      </c>
      <c r="AG55" s="67" t="e">
        <f>IF(AD55&lt;'DADOS DOS EMPREENDIMENTOS'!AF$11,0,IF(AD55='DADOS DOS EMPREENDIMENTOS'!AF$11,SUM(AF$41:AF55)*(1-'DADOS DOS EMPREENDIMENTOS'!#REF!-'DADOS DOS EMPREENDIMENTOS'!#REF!)+'DADOS DOS EMPREENDIMENTOS'!#REF!,IF(AD55='DADOS DOS EMPREENDIMENTOS'!#REF!,'DADOS DOS EMPREENDIMENTOS'!#REF!,AF55*(1-'DADOS DOS EMPREENDIMENTOS'!#REF!-'DADOS DOS EMPREENDIMENTOS'!#REF!))))</f>
        <v>#REF!</v>
      </c>
      <c r="AI55" s="52">
        <v>14</v>
      </c>
      <c r="AJ55" s="31">
        <v>40360</v>
      </c>
      <c r="AK55" s="9">
        <v>9.7599999710741514E-2</v>
      </c>
      <c r="AL55" s="67" t="e">
        <f>IF(AI55&lt;'DADOS DOS EMPREENDIMENTOS'!AK$11,0,IF(AI55='DADOS DOS EMPREENDIMENTOS'!AK$11,SUM(AK$41:AK55)*(1-'DADOS DOS EMPREENDIMENTOS'!#REF!-'DADOS DOS EMPREENDIMENTOS'!#REF!)+'DADOS DOS EMPREENDIMENTOS'!#REF!,IF(AI55='DADOS DOS EMPREENDIMENTOS'!#REF!,'DADOS DOS EMPREENDIMENTOS'!#REF!,AK55*(1-'DADOS DOS EMPREENDIMENTOS'!#REF!-'DADOS DOS EMPREENDIMENTOS'!#REF!))))</f>
        <v>#REF!</v>
      </c>
      <c r="AN55" s="52">
        <v>14</v>
      </c>
      <c r="AO55" s="31">
        <v>40360</v>
      </c>
      <c r="AP55" s="9">
        <v>9.7599999710741514E-2</v>
      </c>
      <c r="AQ55" s="67" t="e">
        <f>IF(AN55&lt;'DADOS DOS EMPREENDIMENTOS'!AP$11,0,IF(AN55='DADOS DOS EMPREENDIMENTOS'!AP$11,SUM(AP$41:AP55)*(1-'DADOS DOS EMPREENDIMENTOS'!#REF!-'DADOS DOS EMPREENDIMENTOS'!#REF!)+'DADOS DOS EMPREENDIMENTOS'!#REF!,IF(AN55='DADOS DOS EMPREENDIMENTOS'!#REF!,'DADOS DOS EMPREENDIMENTOS'!#REF!,AP55*(1-'DADOS DOS EMPREENDIMENTOS'!#REF!-'DADOS DOS EMPREENDIMENTOS'!#REF!))))</f>
        <v>#REF!</v>
      </c>
      <c r="AS55" s="52">
        <v>14</v>
      </c>
      <c r="AT55" s="31">
        <v>40360</v>
      </c>
      <c r="AU55" s="9">
        <v>9.7599999710741514E-2</v>
      </c>
      <c r="AV55" s="67" t="e">
        <f>IF(AS55&lt;'DADOS DOS EMPREENDIMENTOS'!AU$11,0,IF(AS55='DADOS DOS EMPREENDIMENTOS'!AU$11,SUM(AU$41:AU55)*(1-'DADOS DOS EMPREENDIMENTOS'!#REF!-'DADOS DOS EMPREENDIMENTOS'!#REF!)+'DADOS DOS EMPREENDIMENTOS'!#REF!,IF(AS55='DADOS DOS EMPREENDIMENTOS'!#REF!,'DADOS DOS EMPREENDIMENTOS'!#REF!,AU55*(1-'DADOS DOS EMPREENDIMENTOS'!#REF!-'DADOS DOS EMPREENDIMENTOS'!#REF!))))</f>
        <v>#REF!</v>
      </c>
      <c r="AX55" s="52">
        <v>14</v>
      </c>
      <c r="AY55" s="31">
        <v>40360</v>
      </c>
      <c r="AZ55" s="9">
        <v>9.7599999710741514E-2</v>
      </c>
      <c r="BA55" s="67" t="e">
        <f>IF(AX55&lt;'DADOS DOS EMPREENDIMENTOS'!AZ$11,0,IF(AX55='DADOS DOS EMPREENDIMENTOS'!AZ$11,SUM(AZ$41:AZ55)*(1-'DADOS DOS EMPREENDIMENTOS'!#REF!-'DADOS DOS EMPREENDIMENTOS'!#REF!)+'DADOS DOS EMPREENDIMENTOS'!#REF!,IF(AX55='DADOS DOS EMPREENDIMENTOS'!#REF!,'DADOS DOS EMPREENDIMENTOS'!#REF!,AZ55*(1-'DADOS DOS EMPREENDIMENTOS'!#REF!-'DADOS DOS EMPREENDIMENTOS'!#REF!))))</f>
        <v>#REF!</v>
      </c>
      <c r="BC55" s="52">
        <v>14</v>
      </c>
      <c r="BD55" s="31">
        <v>40360</v>
      </c>
      <c r="BE55" s="9">
        <v>9.7599999710741514E-2</v>
      </c>
      <c r="BF55" s="67" t="e">
        <f>IF(BC55&lt;'DADOS DOS EMPREENDIMENTOS'!BE$11,0,IF(BC55='DADOS DOS EMPREENDIMENTOS'!BE$11,SUM(BE$41:BE55)*(1-'DADOS DOS EMPREENDIMENTOS'!#REF!-'DADOS DOS EMPREENDIMENTOS'!#REF!)+'DADOS DOS EMPREENDIMENTOS'!#REF!,IF(BC55='DADOS DOS EMPREENDIMENTOS'!#REF!,'DADOS DOS EMPREENDIMENTOS'!#REF!,BE55*(1-'DADOS DOS EMPREENDIMENTOS'!#REF!-'DADOS DOS EMPREENDIMENTOS'!#REF!))))</f>
        <v>#REF!</v>
      </c>
      <c r="BH55" s="52">
        <v>14</v>
      </c>
      <c r="BI55" s="31">
        <v>40360</v>
      </c>
      <c r="BJ55" s="9">
        <v>9.7599999710741514E-2</v>
      </c>
      <c r="BK55" s="67" t="e">
        <f>IF(BH55&lt;'DADOS DOS EMPREENDIMENTOS'!BJ$11,0,IF(BH55='DADOS DOS EMPREENDIMENTOS'!BJ$11,SUM(BJ$41:BJ55)*(1-'DADOS DOS EMPREENDIMENTOS'!#REF!-'DADOS DOS EMPREENDIMENTOS'!#REF!)+'DADOS DOS EMPREENDIMENTOS'!#REF!,IF(BH55='DADOS DOS EMPREENDIMENTOS'!#REF!,'DADOS DOS EMPREENDIMENTOS'!#REF!,BJ55*(1-'DADOS DOS EMPREENDIMENTOS'!#REF!-'DADOS DOS EMPREENDIMENTOS'!#REF!))))</f>
        <v>#REF!</v>
      </c>
      <c r="BM55" s="52">
        <v>14</v>
      </c>
      <c r="BN55" s="31">
        <v>40360</v>
      </c>
      <c r="BO55" s="9">
        <v>9.7599999710741514E-2</v>
      </c>
      <c r="BP55" s="67" t="e">
        <f>IF(BM55&lt;'DADOS DOS EMPREENDIMENTOS'!BO$11,0,IF(BM55='DADOS DOS EMPREENDIMENTOS'!BO$11,SUM(BO$41:BO55)*(1-'DADOS DOS EMPREENDIMENTOS'!#REF!-'DADOS DOS EMPREENDIMENTOS'!#REF!)+'DADOS DOS EMPREENDIMENTOS'!#REF!,IF(BM55='DADOS DOS EMPREENDIMENTOS'!BO$12,'DADOS DOS EMPREENDIMENTOS'!#REF!,BO55*(1-'DADOS DOS EMPREENDIMENTOS'!#REF!-'DADOS DOS EMPREENDIMENTOS'!#REF!))))</f>
        <v>#REF!</v>
      </c>
      <c r="BR55" s="52">
        <v>14</v>
      </c>
      <c r="BS55" s="31">
        <v>40360</v>
      </c>
      <c r="BT55" s="9">
        <v>9.7599999710741514E-2</v>
      </c>
      <c r="BU55" s="67" t="e">
        <f>IF(BR55&lt;'DADOS DOS EMPREENDIMENTOS'!BT$11,0,IF(BR55='DADOS DOS EMPREENDIMENTOS'!BT$11,SUM(BT$41:BT55)*(1-'DADOS DOS EMPREENDIMENTOS'!#REF!-'DADOS DOS EMPREENDIMENTOS'!#REF!)+'DADOS DOS EMPREENDIMENTOS'!#REF!,IF(BR55='DADOS DOS EMPREENDIMENTOS'!BT$12,'DADOS DOS EMPREENDIMENTOS'!#REF!,BT55*(1-'DADOS DOS EMPREENDIMENTOS'!#REF!-'DADOS DOS EMPREENDIMENTOS'!#REF!))))</f>
        <v>#REF!</v>
      </c>
      <c r="BW55" s="52">
        <v>14</v>
      </c>
      <c r="BX55" s="31">
        <v>40360</v>
      </c>
      <c r="BY55" s="9">
        <v>9.7599999710741514E-2</v>
      </c>
      <c r="BZ55" s="67" t="e">
        <f>IF(BW55&lt;'DADOS DOS EMPREENDIMENTOS'!BY$11,0,IF(BW55='DADOS DOS EMPREENDIMENTOS'!BY$11,SUM(BY$41:BY55)*(1-'DADOS DOS EMPREENDIMENTOS'!#REF!-'DADOS DOS EMPREENDIMENTOS'!#REF!)+'DADOS DOS EMPREENDIMENTOS'!#REF!,IF(BW55='DADOS DOS EMPREENDIMENTOS'!BY$12,'DADOS DOS EMPREENDIMENTOS'!#REF!,BY55*(1-'DADOS DOS EMPREENDIMENTOS'!#REF!-'DADOS DOS EMPREENDIMENTOS'!#REF!))))</f>
        <v>#REF!</v>
      </c>
      <c r="CB55" s="52">
        <v>14</v>
      </c>
      <c r="CC55" s="31">
        <v>40360</v>
      </c>
      <c r="CD55" s="9">
        <v>9.7599999710741514E-2</v>
      </c>
      <c r="CE55" s="67" t="e">
        <f>IF(CB55&lt;'DADOS DOS EMPREENDIMENTOS'!CD$11,0,IF(CB55='DADOS DOS EMPREENDIMENTOS'!CD$11,SUM(CD$41:CD55)*(1-'DADOS DOS EMPREENDIMENTOS'!#REF!-'DADOS DOS EMPREENDIMENTOS'!#REF!)+'DADOS DOS EMPREENDIMENTOS'!#REF!,IF(CB55='DADOS DOS EMPREENDIMENTOS'!CD$12,'DADOS DOS EMPREENDIMENTOS'!#REF!,CD55*(1-'DADOS DOS EMPREENDIMENTOS'!#REF!-'DADOS DOS EMPREENDIMENTOS'!#REF!))))</f>
        <v>#REF!</v>
      </c>
      <c r="CG55" s="52"/>
      <c r="CH55" s="31"/>
      <c r="CI55" s="9"/>
      <c r="CJ55" s="67"/>
    </row>
    <row r="56" spans="15:88" ht="12.75" customHeight="1" thickBot="1" x14ac:dyDescent="0.25">
      <c r="O56" s="43">
        <v>41</v>
      </c>
      <c r="P56" s="607" t="s">
        <v>352</v>
      </c>
      <c r="Q56" s="642">
        <f>VLOOKUP(P56,Apoio!C:E,2,0)</f>
        <v>240000</v>
      </c>
      <c r="R56" s="609">
        <v>240000</v>
      </c>
      <c r="S56" s="359">
        <v>5</v>
      </c>
      <c r="T56" s="52">
        <v>15</v>
      </c>
      <c r="U56" s="31"/>
      <c r="V56" s="9"/>
      <c r="W56" s="67"/>
      <c r="Y56" s="52">
        <v>15</v>
      </c>
      <c r="Z56" s="31"/>
      <c r="AA56" s="9"/>
      <c r="AB56" s="67"/>
      <c r="AD56" s="52">
        <v>15</v>
      </c>
      <c r="AE56" s="31">
        <v>40391</v>
      </c>
      <c r="AF56" s="9">
        <v>0.11039999975882406</v>
      </c>
      <c r="AG56" s="67" t="e">
        <f>IF(AD56&lt;'DADOS DOS EMPREENDIMENTOS'!AF$11,0,IF(AD56='DADOS DOS EMPREENDIMENTOS'!AF$11,SUM(AF$41:AF56)*(1-'DADOS DOS EMPREENDIMENTOS'!#REF!-'DADOS DOS EMPREENDIMENTOS'!#REF!)+'DADOS DOS EMPREENDIMENTOS'!#REF!,IF(AD56='DADOS DOS EMPREENDIMENTOS'!#REF!,'DADOS DOS EMPREENDIMENTOS'!#REF!,AF56*(1-'DADOS DOS EMPREENDIMENTOS'!#REF!-'DADOS DOS EMPREENDIMENTOS'!#REF!))))</f>
        <v>#REF!</v>
      </c>
      <c r="AI56" s="52">
        <v>15</v>
      </c>
      <c r="AJ56" s="31">
        <v>40391</v>
      </c>
      <c r="AK56" s="9">
        <v>0.11039999975882406</v>
      </c>
      <c r="AL56" s="67" t="e">
        <f>IF(AI56&lt;'DADOS DOS EMPREENDIMENTOS'!AK$11,0,IF(AI56='DADOS DOS EMPREENDIMENTOS'!AK$11,SUM(AK$41:AK56)*(1-'DADOS DOS EMPREENDIMENTOS'!#REF!-'DADOS DOS EMPREENDIMENTOS'!#REF!)+'DADOS DOS EMPREENDIMENTOS'!#REF!,IF(AI56='DADOS DOS EMPREENDIMENTOS'!#REF!,'DADOS DOS EMPREENDIMENTOS'!#REF!,AK56*(1-'DADOS DOS EMPREENDIMENTOS'!#REF!-'DADOS DOS EMPREENDIMENTOS'!#REF!))))</f>
        <v>#REF!</v>
      </c>
      <c r="AN56" s="52">
        <v>15</v>
      </c>
      <c r="AO56" s="31">
        <v>40391</v>
      </c>
      <c r="AP56" s="9">
        <v>0.11039999975882406</v>
      </c>
      <c r="AQ56" s="67" t="e">
        <f>IF(AN56&lt;'DADOS DOS EMPREENDIMENTOS'!AP$11,0,IF(AN56='DADOS DOS EMPREENDIMENTOS'!AP$11,SUM(AP$41:AP56)*(1-'DADOS DOS EMPREENDIMENTOS'!#REF!-'DADOS DOS EMPREENDIMENTOS'!#REF!)+'DADOS DOS EMPREENDIMENTOS'!#REF!,IF(AN56='DADOS DOS EMPREENDIMENTOS'!#REF!,'DADOS DOS EMPREENDIMENTOS'!#REF!,AP56*(1-'DADOS DOS EMPREENDIMENTOS'!#REF!-'DADOS DOS EMPREENDIMENTOS'!#REF!))))</f>
        <v>#REF!</v>
      </c>
      <c r="AS56" s="52">
        <v>15</v>
      </c>
      <c r="AT56" s="31">
        <v>40391</v>
      </c>
      <c r="AU56" s="9">
        <v>0.11039999975882406</v>
      </c>
      <c r="AV56" s="67" t="e">
        <f>IF(AS56&lt;'DADOS DOS EMPREENDIMENTOS'!AU$11,0,IF(AS56='DADOS DOS EMPREENDIMENTOS'!AU$11,SUM(AU$41:AU56)*(1-'DADOS DOS EMPREENDIMENTOS'!#REF!-'DADOS DOS EMPREENDIMENTOS'!#REF!)+'DADOS DOS EMPREENDIMENTOS'!#REF!,IF(AS56='DADOS DOS EMPREENDIMENTOS'!#REF!,'DADOS DOS EMPREENDIMENTOS'!#REF!,AU56*(1-'DADOS DOS EMPREENDIMENTOS'!#REF!-'DADOS DOS EMPREENDIMENTOS'!#REF!))))</f>
        <v>#REF!</v>
      </c>
      <c r="AX56" s="52">
        <v>15</v>
      </c>
      <c r="AY56" s="31">
        <v>40391</v>
      </c>
      <c r="AZ56" s="9">
        <v>0.11039999975882406</v>
      </c>
      <c r="BA56" s="67" t="e">
        <f>IF(AX56&lt;'DADOS DOS EMPREENDIMENTOS'!AZ$11,0,IF(AX56='DADOS DOS EMPREENDIMENTOS'!AZ$11,SUM(AZ$41:AZ56)*(1-'DADOS DOS EMPREENDIMENTOS'!#REF!-'DADOS DOS EMPREENDIMENTOS'!#REF!)+'DADOS DOS EMPREENDIMENTOS'!#REF!,IF(AX56='DADOS DOS EMPREENDIMENTOS'!#REF!,'DADOS DOS EMPREENDIMENTOS'!#REF!,AZ56*(1-'DADOS DOS EMPREENDIMENTOS'!#REF!-'DADOS DOS EMPREENDIMENTOS'!#REF!))))</f>
        <v>#REF!</v>
      </c>
      <c r="BC56" s="52">
        <v>15</v>
      </c>
      <c r="BD56" s="31">
        <v>40391</v>
      </c>
      <c r="BE56" s="9">
        <v>0.11039999975882406</v>
      </c>
      <c r="BF56" s="67" t="e">
        <f>IF(BC56&lt;'DADOS DOS EMPREENDIMENTOS'!BE$11,0,IF(BC56='DADOS DOS EMPREENDIMENTOS'!BE$11,SUM(BE$41:BE56)*(1-'DADOS DOS EMPREENDIMENTOS'!#REF!-'DADOS DOS EMPREENDIMENTOS'!#REF!)+'DADOS DOS EMPREENDIMENTOS'!#REF!,IF(BC56='DADOS DOS EMPREENDIMENTOS'!#REF!,'DADOS DOS EMPREENDIMENTOS'!#REF!,BE56*(1-'DADOS DOS EMPREENDIMENTOS'!#REF!-'DADOS DOS EMPREENDIMENTOS'!#REF!))))</f>
        <v>#REF!</v>
      </c>
      <c r="BH56" s="52">
        <v>15</v>
      </c>
      <c r="BI56" s="31">
        <v>40391</v>
      </c>
      <c r="BJ56" s="9">
        <v>0.11039999975882406</v>
      </c>
      <c r="BK56" s="67" t="e">
        <f>IF(BH56&lt;'DADOS DOS EMPREENDIMENTOS'!BJ$11,0,IF(BH56='DADOS DOS EMPREENDIMENTOS'!BJ$11,SUM(BJ$41:BJ56)*(1-'DADOS DOS EMPREENDIMENTOS'!#REF!-'DADOS DOS EMPREENDIMENTOS'!#REF!)+'DADOS DOS EMPREENDIMENTOS'!#REF!,IF(BH56='DADOS DOS EMPREENDIMENTOS'!#REF!,'DADOS DOS EMPREENDIMENTOS'!#REF!,BJ56*(1-'DADOS DOS EMPREENDIMENTOS'!#REF!-'DADOS DOS EMPREENDIMENTOS'!#REF!))))</f>
        <v>#REF!</v>
      </c>
      <c r="BM56" s="52">
        <v>15</v>
      </c>
      <c r="BN56" s="31">
        <v>40391</v>
      </c>
      <c r="BO56" s="9">
        <v>0.11039999975882406</v>
      </c>
      <c r="BP56" s="67" t="e">
        <f>IF(BM56&lt;'DADOS DOS EMPREENDIMENTOS'!BO$11,0,IF(BM56='DADOS DOS EMPREENDIMENTOS'!BO$11,SUM(BO$41:BO56)*(1-'DADOS DOS EMPREENDIMENTOS'!#REF!-'DADOS DOS EMPREENDIMENTOS'!#REF!)+'DADOS DOS EMPREENDIMENTOS'!#REF!,IF(BM56='DADOS DOS EMPREENDIMENTOS'!BO$12,'DADOS DOS EMPREENDIMENTOS'!#REF!,BO56*(1-'DADOS DOS EMPREENDIMENTOS'!#REF!-'DADOS DOS EMPREENDIMENTOS'!#REF!))))</f>
        <v>#REF!</v>
      </c>
      <c r="BR56" s="52">
        <v>15</v>
      </c>
      <c r="BS56" s="31">
        <v>40391</v>
      </c>
      <c r="BT56" s="9">
        <v>0.11039999975882406</v>
      </c>
      <c r="BU56" s="67" t="e">
        <f>IF(BR56&lt;'DADOS DOS EMPREENDIMENTOS'!BT$11,0,IF(BR56='DADOS DOS EMPREENDIMENTOS'!BT$11,SUM(BT$41:BT56)*(1-'DADOS DOS EMPREENDIMENTOS'!#REF!-'DADOS DOS EMPREENDIMENTOS'!#REF!)+'DADOS DOS EMPREENDIMENTOS'!#REF!,IF(BR56='DADOS DOS EMPREENDIMENTOS'!BT$12,'DADOS DOS EMPREENDIMENTOS'!#REF!,BT56*(1-'DADOS DOS EMPREENDIMENTOS'!#REF!-'DADOS DOS EMPREENDIMENTOS'!#REF!))))</f>
        <v>#REF!</v>
      </c>
      <c r="BW56" s="52">
        <v>15</v>
      </c>
      <c r="BX56" s="31">
        <v>40391</v>
      </c>
      <c r="BY56" s="9">
        <v>0.11039999975882406</v>
      </c>
      <c r="BZ56" s="67" t="e">
        <f>IF(BW56&lt;'DADOS DOS EMPREENDIMENTOS'!BY$11,0,IF(BW56='DADOS DOS EMPREENDIMENTOS'!BY$11,SUM(BY$41:BY56)*(1-'DADOS DOS EMPREENDIMENTOS'!#REF!-'DADOS DOS EMPREENDIMENTOS'!#REF!)+'DADOS DOS EMPREENDIMENTOS'!#REF!,IF(BW56='DADOS DOS EMPREENDIMENTOS'!BY$12,'DADOS DOS EMPREENDIMENTOS'!#REF!,BY56*(1-'DADOS DOS EMPREENDIMENTOS'!#REF!-'DADOS DOS EMPREENDIMENTOS'!#REF!))))</f>
        <v>#REF!</v>
      </c>
      <c r="CB56" s="52">
        <v>15</v>
      </c>
      <c r="CC56" s="31">
        <v>40391</v>
      </c>
      <c r="CD56" s="9">
        <v>0.11039999975882406</v>
      </c>
      <c r="CE56" s="67" t="e">
        <f>IF(CB56&lt;'DADOS DOS EMPREENDIMENTOS'!CD$11,0,IF(CB56='DADOS DOS EMPREENDIMENTOS'!CD$11,SUM(CD$41:CD56)*(1-'DADOS DOS EMPREENDIMENTOS'!#REF!-'DADOS DOS EMPREENDIMENTOS'!#REF!)+'DADOS DOS EMPREENDIMENTOS'!#REF!,IF(CB56='DADOS DOS EMPREENDIMENTOS'!CD$12,'DADOS DOS EMPREENDIMENTOS'!#REF!,CD56*(1-'DADOS DOS EMPREENDIMENTOS'!#REF!-'DADOS DOS EMPREENDIMENTOS'!#REF!))))</f>
        <v>#REF!</v>
      </c>
      <c r="CG56" s="52"/>
      <c r="CH56" s="31"/>
      <c r="CI56" s="9"/>
      <c r="CJ56" s="67"/>
    </row>
    <row r="57" spans="15:88" ht="12.75" customHeight="1" thickBot="1" x14ac:dyDescent="0.25">
      <c r="O57" s="45">
        <v>42</v>
      </c>
      <c r="P57" s="607" t="s">
        <v>353</v>
      </c>
      <c r="Q57" s="642">
        <f>VLOOKUP(P57,Apoio!C:E,2,0)</f>
        <v>240000</v>
      </c>
      <c r="R57" s="609">
        <v>240000</v>
      </c>
      <c r="S57" s="359">
        <v>5</v>
      </c>
      <c r="T57" s="52">
        <v>16</v>
      </c>
      <c r="U57" s="31"/>
      <c r="V57" s="9"/>
      <c r="W57" s="67"/>
      <c r="Y57" s="52">
        <v>16</v>
      </c>
      <c r="Z57" s="31"/>
      <c r="AA57" s="9"/>
      <c r="AB57" s="67"/>
      <c r="AD57" s="52">
        <v>16</v>
      </c>
      <c r="AE57" s="31">
        <v>40422</v>
      </c>
      <c r="AF57" s="9">
        <v>0.12510000012335462</v>
      </c>
      <c r="AG57" s="67" t="e">
        <f>IF(AD57&lt;'DADOS DOS EMPREENDIMENTOS'!AF$11,0,IF(AD57='DADOS DOS EMPREENDIMENTOS'!AF$11,SUM(AF$41:AF57)*(1-'DADOS DOS EMPREENDIMENTOS'!#REF!-'DADOS DOS EMPREENDIMENTOS'!#REF!)+'DADOS DOS EMPREENDIMENTOS'!#REF!,IF(AD57='DADOS DOS EMPREENDIMENTOS'!#REF!,'DADOS DOS EMPREENDIMENTOS'!#REF!,AF57*(1-'DADOS DOS EMPREENDIMENTOS'!#REF!-'DADOS DOS EMPREENDIMENTOS'!#REF!))))</f>
        <v>#REF!</v>
      </c>
      <c r="AI57" s="52">
        <v>16</v>
      </c>
      <c r="AJ57" s="31">
        <v>40422</v>
      </c>
      <c r="AK57" s="9">
        <v>0.12510000012335462</v>
      </c>
      <c r="AL57" s="67" t="e">
        <f>IF(AI57&lt;'DADOS DOS EMPREENDIMENTOS'!AK$11,0,IF(AI57='DADOS DOS EMPREENDIMENTOS'!AK$11,SUM(AK$41:AK57)*(1-'DADOS DOS EMPREENDIMENTOS'!#REF!-'DADOS DOS EMPREENDIMENTOS'!#REF!)+'DADOS DOS EMPREENDIMENTOS'!#REF!,IF(AI57='DADOS DOS EMPREENDIMENTOS'!#REF!,'DADOS DOS EMPREENDIMENTOS'!#REF!,AK57*(1-'DADOS DOS EMPREENDIMENTOS'!#REF!-'DADOS DOS EMPREENDIMENTOS'!#REF!))))</f>
        <v>#REF!</v>
      </c>
      <c r="AN57" s="52">
        <v>16</v>
      </c>
      <c r="AO57" s="31">
        <v>40422</v>
      </c>
      <c r="AP57" s="9">
        <v>0.12510000012335462</v>
      </c>
      <c r="AQ57" s="67" t="e">
        <f>IF(AN57&lt;'DADOS DOS EMPREENDIMENTOS'!AP$11,0,IF(AN57='DADOS DOS EMPREENDIMENTOS'!AP$11,SUM(AP$41:AP57)*(1-'DADOS DOS EMPREENDIMENTOS'!#REF!-'DADOS DOS EMPREENDIMENTOS'!#REF!)+'DADOS DOS EMPREENDIMENTOS'!#REF!,IF(AN57='DADOS DOS EMPREENDIMENTOS'!#REF!,'DADOS DOS EMPREENDIMENTOS'!#REF!,AP57*(1-'DADOS DOS EMPREENDIMENTOS'!#REF!-'DADOS DOS EMPREENDIMENTOS'!#REF!))))</f>
        <v>#REF!</v>
      </c>
      <c r="AS57" s="52">
        <v>16</v>
      </c>
      <c r="AT57" s="31">
        <v>40422</v>
      </c>
      <c r="AU57" s="9">
        <v>0.12510000012335462</v>
      </c>
      <c r="AV57" s="67" t="e">
        <f>IF(AS57&lt;'DADOS DOS EMPREENDIMENTOS'!AU$11,0,IF(AS57='DADOS DOS EMPREENDIMENTOS'!AU$11,SUM(AU$41:AU57)*(1-'DADOS DOS EMPREENDIMENTOS'!#REF!-'DADOS DOS EMPREENDIMENTOS'!#REF!)+'DADOS DOS EMPREENDIMENTOS'!#REF!,IF(AS57='DADOS DOS EMPREENDIMENTOS'!#REF!,'DADOS DOS EMPREENDIMENTOS'!#REF!,AU57*(1-'DADOS DOS EMPREENDIMENTOS'!#REF!-'DADOS DOS EMPREENDIMENTOS'!#REF!))))</f>
        <v>#REF!</v>
      </c>
      <c r="AX57" s="52">
        <v>16</v>
      </c>
      <c r="AY57" s="31">
        <v>40422</v>
      </c>
      <c r="AZ57" s="9">
        <v>0.12510000012335462</v>
      </c>
      <c r="BA57" s="67" t="e">
        <f>IF(AX57&lt;'DADOS DOS EMPREENDIMENTOS'!AZ$11,0,IF(AX57='DADOS DOS EMPREENDIMENTOS'!AZ$11,SUM(AZ$41:AZ57)*(1-'DADOS DOS EMPREENDIMENTOS'!#REF!-'DADOS DOS EMPREENDIMENTOS'!#REF!)+'DADOS DOS EMPREENDIMENTOS'!#REF!,IF(AX57='DADOS DOS EMPREENDIMENTOS'!#REF!,'DADOS DOS EMPREENDIMENTOS'!#REF!,AZ57*(1-'DADOS DOS EMPREENDIMENTOS'!#REF!-'DADOS DOS EMPREENDIMENTOS'!#REF!))))</f>
        <v>#REF!</v>
      </c>
      <c r="BC57" s="52">
        <v>16</v>
      </c>
      <c r="BD57" s="31">
        <v>40422</v>
      </c>
      <c r="BE57" s="9">
        <v>0.12510000012335462</v>
      </c>
      <c r="BF57" s="67" t="e">
        <f>IF(BC57&lt;'DADOS DOS EMPREENDIMENTOS'!BE$11,0,IF(BC57='DADOS DOS EMPREENDIMENTOS'!BE$11,SUM(BE$41:BE57)*(1-'DADOS DOS EMPREENDIMENTOS'!#REF!-'DADOS DOS EMPREENDIMENTOS'!#REF!)+'DADOS DOS EMPREENDIMENTOS'!#REF!,IF(BC57='DADOS DOS EMPREENDIMENTOS'!#REF!,'DADOS DOS EMPREENDIMENTOS'!#REF!,BE57*(1-'DADOS DOS EMPREENDIMENTOS'!#REF!-'DADOS DOS EMPREENDIMENTOS'!#REF!))))</f>
        <v>#REF!</v>
      </c>
      <c r="BH57" s="52">
        <v>16</v>
      </c>
      <c r="BI57" s="31">
        <v>40422</v>
      </c>
      <c r="BJ57" s="9">
        <v>0.12510000012335462</v>
      </c>
      <c r="BK57" s="67" t="e">
        <f>IF(BH57&lt;'DADOS DOS EMPREENDIMENTOS'!BJ$11,0,IF(BH57='DADOS DOS EMPREENDIMENTOS'!BJ$11,SUM(BJ$41:BJ57)*(1-'DADOS DOS EMPREENDIMENTOS'!#REF!-'DADOS DOS EMPREENDIMENTOS'!#REF!)+'DADOS DOS EMPREENDIMENTOS'!#REF!,IF(BH57='DADOS DOS EMPREENDIMENTOS'!#REF!,'DADOS DOS EMPREENDIMENTOS'!#REF!,BJ57*(1-'DADOS DOS EMPREENDIMENTOS'!#REF!-'DADOS DOS EMPREENDIMENTOS'!#REF!))))</f>
        <v>#REF!</v>
      </c>
      <c r="BM57" s="52">
        <v>16</v>
      </c>
      <c r="BN57" s="31">
        <v>40422</v>
      </c>
      <c r="BO57" s="9">
        <v>0.12510000012335462</v>
      </c>
      <c r="BP57" s="67" t="e">
        <f>IF(BM57&lt;'DADOS DOS EMPREENDIMENTOS'!BO$11,0,IF(BM57='DADOS DOS EMPREENDIMENTOS'!BO$11,SUM(BO$41:BO57)*(1-'DADOS DOS EMPREENDIMENTOS'!#REF!-'DADOS DOS EMPREENDIMENTOS'!#REF!)+'DADOS DOS EMPREENDIMENTOS'!#REF!,IF(BM57='DADOS DOS EMPREENDIMENTOS'!BO$12,'DADOS DOS EMPREENDIMENTOS'!#REF!,BO57*(1-'DADOS DOS EMPREENDIMENTOS'!#REF!-'DADOS DOS EMPREENDIMENTOS'!#REF!))))</f>
        <v>#REF!</v>
      </c>
      <c r="BR57" s="52">
        <v>16</v>
      </c>
      <c r="BS57" s="31">
        <v>40422</v>
      </c>
      <c r="BT57" s="9">
        <v>0.12510000012335462</v>
      </c>
      <c r="BU57" s="67" t="e">
        <f>IF(BR57&lt;'DADOS DOS EMPREENDIMENTOS'!BT$11,0,IF(BR57='DADOS DOS EMPREENDIMENTOS'!BT$11,SUM(BT$41:BT57)*(1-'DADOS DOS EMPREENDIMENTOS'!#REF!-'DADOS DOS EMPREENDIMENTOS'!#REF!)+'DADOS DOS EMPREENDIMENTOS'!#REF!,IF(BR57='DADOS DOS EMPREENDIMENTOS'!BT$12,'DADOS DOS EMPREENDIMENTOS'!#REF!,BT57*(1-'DADOS DOS EMPREENDIMENTOS'!#REF!-'DADOS DOS EMPREENDIMENTOS'!#REF!))))</f>
        <v>#REF!</v>
      </c>
      <c r="BW57" s="52">
        <v>16</v>
      </c>
      <c r="BX57" s="31">
        <v>40422</v>
      </c>
      <c r="BY57" s="9">
        <v>0.12510000012335462</v>
      </c>
      <c r="BZ57" s="67" t="e">
        <f>IF(BW57&lt;'DADOS DOS EMPREENDIMENTOS'!BY$11,0,IF(BW57='DADOS DOS EMPREENDIMENTOS'!BY$11,SUM(BY$41:BY57)*(1-'DADOS DOS EMPREENDIMENTOS'!#REF!-'DADOS DOS EMPREENDIMENTOS'!#REF!)+'DADOS DOS EMPREENDIMENTOS'!#REF!,IF(BW57='DADOS DOS EMPREENDIMENTOS'!BY$12,'DADOS DOS EMPREENDIMENTOS'!#REF!,BY57*(1-'DADOS DOS EMPREENDIMENTOS'!#REF!-'DADOS DOS EMPREENDIMENTOS'!#REF!))))</f>
        <v>#REF!</v>
      </c>
      <c r="CB57" s="52">
        <v>16</v>
      </c>
      <c r="CC57" s="31">
        <v>40422</v>
      </c>
      <c r="CD57" s="9">
        <v>0.12510000012335462</v>
      </c>
      <c r="CE57" s="67" t="e">
        <f>IF(CB57&lt;'DADOS DOS EMPREENDIMENTOS'!CD$11,0,IF(CB57='DADOS DOS EMPREENDIMENTOS'!CD$11,SUM(CD$41:CD57)*(1-'DADOS DOS EMPREENDIMENTOS'!#REF!-'DADOS DOS EMPREENDIMENTOS'!#REF!)+'DADOS DOS EMPREENDIMENTOS'!#REF!,IF(CB57='DADOS DOS EMPREENDIMENTOS'!CD$12,'DADOS DOS EMPREENDIMENTOS'!#REF!,CD57*(1-'DADOS DOS EMPREENDIMENTOS'!#REF!-'DADOS DOS EMPREENDIMENTOS'!#REF!))))</f>
        <v>#REF!</v>
      </c>
      <c r="CG57" s="52"/>
      <c r="CH57" s="31"/>
      <c r="CI57" s="9"/>
      <c r="CJ57" s="67"/>
    </row>
    <row r="58" spans="15:88" ht="12.75" customHeight="1" thickBot="1" x14ac:dyDescent="0.25">
      <c r="O58" s="43">
        <v>43</v>
      </c>
      <c r="P58" s="607" t="s">
        <v>354</v>
      </c>
      <c r="Q58" s="642">
        <f>VLOOKUP(P58,Apoio!C:E,2,0)</f>
        <v>240000</v>
      </c>
      <c r="R58" s="609">
        <v>240000</v>
      </c>
      <c r="S58" s="359">
        <v>5</v>
      </c>
      <c r="T58" s="52">
        <v>17</v>
      </c>
      <c r="U58" s="31"/>
      <c r="V58" s="9"/>
      <c r="W58" s="67"/>
      <c r="Y58" s="52">
        <v>17</v>
      </c>
      <c r="Z58" s="31"/>
      <c r="AA58" s="9"/>
      <c r="AB58" s="67"/>
      <c r="AD58" s="52">
        <v>17</v>
      </c>
      <c r="AE58" s="31">
        <v>40452</v>
      </c>
      <c r="AF58" s="9">
        <v>0.12929999981864104</v>
      </c>
      <c r="AG58" s="67" t="e">
        <f>IF(AD58&lt;'DADOS DOS EMPREENDIMENTOS'!AF$11,0,IF(AD58='DADOS DOS EMPREENDIMENTOS'!AF$11,SUM(AF$41:AF58)*(1-'DADOS DOS EMPREENDIMENTOS'!#REF!-'DADOS DOS EMPREENDIMENTOS'!#REF!)+'DADOS DOS EMPREENDIMENTOS'!#REF!,IF(AD58='DADOS DOS EMPREENDIMENTOS'!#REF!,'DADOS DOS EMPREENDIMENTOS'!#REF!,AF58*(1-'DADOS DOS EMPREENDIMENTOS'!#REF!-'DADOS DOS EMPREENDIMENTOS'!#REF!))))</f>
        <v>#REF!</v>
      </c>
      <c r="AI58" s="52">
        <v>17</v>
      </c>
      <c r="AJ58" s="31">
        <v>40452</v>
      </c>
      <c r="AK58" s="9">
        <v>0.12929999981864104</v>
      </c>
      <c r="AL58" s="67" t="e">
        <f>IF(AI58&lt;'DADOS DOS EMPREENDIMENTOS'!AK$11,0,IF(AI58='DADOS DOS EMPREENDIMENTOS'!AK$11,SUM(AK$41:AK58)*(1-'DADOS DOS EMPREENDIMENTOS'!#REF!-'DADOS DOS EMPREENDIMENTOS'!#REF!)+'DADOS DOS EMPREENDIMENTOS'!#REF!,IF(AI58='DADOS DOS EMPREENDIMENTOS'!#REF!,'DADOS DOS EMPREENDIMENTOS'!#REF!,AK58*(1-'DADOS DOS EMPREENDIMENTOS'!#REF!-'DADOS DOS EMPREENDIMENTOS'!#REF!))))</f>
        <v>#REF!</v>
      </c>
      <c r="AN58" s="52">
        <v>17</v>
      </c>
      <c r="AO58" s="31">
        <v>40452</v>
      </c>
      <c r="AP58" s="9">
        <v>0.12929999981864104</v>
      </c>
      <c r="AQ58" s="67" t="e">
        <f>IF(AN58&lt;'DADOS DOS EMPREENDIMENTOS'!AP$11,0,IF(AN58='DADOS DOS EMPREENDIMENTOS'!AP$11,SUM(AP$41:AP58)*(1-'DADOS DOS EMPREENDIMENTOS'!#REF!-'DADOS DOS EMPREENDIMENTOS'!#REF!)+'DADOS DOS EMPREENDIMENTOS'!#REF!,IF(AN58='DADOS DOS EMPREENDIMENTOS'!#REF!,'DADOS DOS EMPREENDIMENTOS'!#REF!,AP58*(1-'DADOS DOS EMPREENDIMENTOS'!#REF!-'DADOS DOS EMPREENDIMENTOS'!#REF!))))</f>
        <v>#REF!</v>
      </c>
      <c r="AS58" s="52">
        <v>17</v>
      </c>
      <c r="AT58" s="31">
        <v>40452</v>
      </c>
      <c r="AU58" s="9">
        <v>0.12929999981864104</v>
      </c>
      <c r="AV58" s="67" t="e">
        <f>IF(AS58&lt;'DADOS DOS EMPREENDIMENTOS'!AU$11,0,IF(AS58='DADOS DOS EMPREENDIMENTOS'!AU$11,SUM(AU$41:AU58)*(1-'DADOS DOS EMPREENDIMENTOS'!#REF!-'DADOS DOS EMPREENDIMENTOS'!#REF!)+'DADOS DOS EMPREENDIMENTOS'!#REF!,IF(AS58='DADOS DOS EMPREENDIMENTOS'!#REF!,'DADOS DOS EMPREENDIMENTOS'!#REF!,AU58*(1-'DADOS DOS EMPREENDIMENTOS'!#REF!-'DADOS DOS EMPREENDIMENTOS'!#REF!))))</f>
        <v>#REF!</v>
      </c>
      <c r="AX58" s="52">
        <v>17</v>
      </c>
      <c r="AY58" s="31">
        <v>40452</v>
      </c>
      <c r="AZ58" s="9">
        <v>0.12929999981864104</v>
      </c>
      <c r="BA58" s="67" t="e">
        <f>IF(AX58&lt;'DADOS DOS EMPREENDIMENTOS'!AZ$11,0,IF(AX58='DADOS DOS EMPREENDIMENTOS'!AZ$11,SUM(AZ$41:AZ58)*(1-'DADOS DOS EMPREENDIMENTOS'!#REF!-'DADOS DOS EMPREENDIMENTOS'!#REF!)+'DADOS DOS EMPREENDIMENTOS'!#REF!,IF(AX58='DADOS DOS EMPREENDIMENTOS'!#REF!,'DADOS DOS EMPREENDIMENTOS'!#REF!,AZ58*(1-'DADOS DOS EMPREENDIMENTOS'!#REF!-'DADOS DOS EMPREENDIMENTOS'!#REF!))))</f>
        <v>#REF!</v>
      </c>
      <c r="BC58" s="52">
        <v>17</v>
      </c>
      <c r="BD58" s="31">
        <v>40452</v>
      </c>
      <c r="BE58" s="9">
        <v>0.12929999981864104</v>
      </c>
      <c r="BF58" s="67" t="e">
        <f>IF(BC58&lt;'DADOS DOS EMPREENDIMENTOS'!BE$11,0,IF(BC58='DADOS DOS EMPREENDIMENTOS'!BE$11,SUM(BE$41:BE58)*(1-'DADOS DOS EMPREENDIMENTOS'!#REF!-'DADOS DOS EMPREENDIMENTOS'!#REF!)+'DADOS DOS EMPREENDIMENTOS'!#REF!,IF(BC58='DADOS DOS EMPREENDIMENTOS'!#REF!,'DADOS DOS EMPREENDIMENTOS'!#REF!,BE58*(1-'DADOS DOS EMPREENDIMENTOS'!#REF!-'DADOS DOS EMPREENDIMENTOS'!#REF!))))</f>
        <v>#REF!</v>
      </c>
      <c r="BH58" s="52">
        <v>17</v>
      </c>
      <c r="BI58" s="31">
        <v>40452</v>
      </c>
      <c r="BJ58" s="9">
        <v>0.12929999981864104</v>
      </c>
      <c r="BK58" s="67" t="e">
        <f>IF(BH58&lt;'DADOS DOS EMPREENDIMENTOS'!BJ$11,0,IF(BH58='DADOS DOS EMPREENDIMENTOS'!BJ$11,SUM(BJ$41:BJ58)*(1-'DADOS DOS EMPREENDIMENTOS'!#REF!-'DADOS DOS EMPREENDIMENTOS'!#REF!)+'DADOS DOS EMPREENDIMENTOS'!#REF!,IF(BH58='DADOS DOS EMPREENDIMENTOS'!#REF!,'DADOS DOS EMPREENDIMENTOS'!#REF!,BJ58*(1-'DADOS DOS EMPREENDIMENTOS'!#REF!-'DADOS DOS EMPREENDIMENTOS'!#REF!))))</f>
        <v>#REF!</v>
      </c>
      <c r="BM58" s="52">
        <v>17</v>
      </c>
      <c r="BN58" s="31">
        <v>40452</v>
      </c>
      <c r="BO58" s="9">
        <v>0.12929999981864104</v>
      </c>
      <c r="BP58" s="67" t="e">
        <f>IF(BM58&lt;'DADOS DOS EMPREENDIMENTOS'!BO$11,0,IF(BM58='DADOS DOS EMPREENDIMENTOS'!BO$11,SUM(BO$41:BO58)*(1-'DADOS DOS EMPREENDIMENTOS'!#REF!-'DADOS DOS EMPREENDIMENTOS'!#REF!)+'DADOS DOS EMPREENDIMENTOS'!#REF!,IF(BM58='DADOS DOS EMPREENDIMENTOS'!BO$12,'DADOS DOS EMPREENDIMENTOS'!#REF!,BO58*(1-'DADOS DOS EMPREENDIMENTOS'!#REF!-'DADOS DOS EMPREENDIMENTOS'!#REF!))))</f>
        <v>#REF!</v>
      </c>
      <c r="BR58" s="52">
        <v>17</v>
      </c>
      <c r="BS58" s="31">
        <v>40452</v>
      </c>
      <c r="BT58" s="9">
        <v>0.12929999981864104</v>
      </c>
      <c r="BU58" s="67" t="e">
        <f>IF(BR58&lt;'DADOS DOS EMPREENDIMENTOS'!BT$11,0,IF(BR58='DADOS DOS EMPREENDIMENTOS'!BT$11,SUM(BT$41:BT58)*(1-'DADOS DOS EMPREENDIMENTOS'!#REF!-'DADOS DOS EMPREENDIMENTOS'!#REF!)+'DADOS DOS EMPREENDIMENTOS'!#REF!,IF(BR58='DADOS DOS EMPREENDIMENTOS'!BT$12,'DADOS DOS EMPREENDIMENTOS'!#REF!,BT58*(1-'DADOS DOS EMPREENDIMENTOS'!#REF!-'DADOS DOS EMPREENDIMENTOS'!#REF!))))</f>
        <v>#REF!</v>
      </c>
      <c r="BW58" s="52">
        <v>17</v>
      </c>
      <c r="BX58" s="31">
        <v>40452</v>
      </c>
      <c r="BY58" s="9">
        <v>0.12929999981864104</v>
      </c>
      <c r="BZ58" s="67" t="e">
        <f>IF(BW58&lt;'DADOS DOS EMPREENDIMENTOS'!BY$11,0,IF(BW58='DADOS DOS EMPREENDIMENTOS'!BY$11,SUM(BY$41:BY58)*(1-'DADOS DOS EMPREENDIMENTOS'!#REF!-'DADOS DOS EMPREENDIMENTOS'!#REF!)+'DADOS DOS EMPREENDIMENTOS'!#REF!,IF(BW58='DADOS DOS EMPREENDIMENTOS'!BY$12,'DADOS DOS EMPREENDIMENTOS'!#REF!,BY58*(1-'DADOS DOS EMPREENDIMENTOS'!#REF!-'DADOS DOS EMPREENDIMENTOS'!#REF!))))</f>
        <v>#REF!</v>
      </c>
      <c r="CB58" s="52">
        <v>17</v>
      </c>
      <c r="CC58" s="31">
        <v>40452</v>
      </c>
      <c r="CD58" s="9">
        <v>0.12929999981864104</v>
      </c>
      <c r="CE58" s="67" t="e">
        <f>IF(CB58&lt;'DADOS DOS EMPREENDIMENTOS'!CD$11,0,IF(CB58='DADOS DOS EMPREENDIMENTOS'!CD$11,SUM(CD$41:CD58)*(1-'DADOS DOS EMPREENDIMENTOS'!#REF!-'DADOS DOS EMPREENDIMENTOS'!#REF!)+'DADOS DOS EMPREENDIMENTOS'!#REF!,IF(CB58='DADOS DOS EMPREENDIMENTOS'!CD$12,'DADOS DOS EMPREENDIMENTOS'!#REF!,CD58*(1-'DADOS DOS EMPREENDIMENTOS'!#REF!-'DADOS DOS EMPREENDIMENTOS'!#REF!))))</f>
        <v>#REF!</v>
      </c>
      <c r="CG58" s="52"/>
      <c r="CH58" s="31"/>
      <c r="CI58" s="9"/>
      <c r="CJ58" s="67"/>
    </row>
    <row r="59" spans="15:88" ht="12.75" customHeight="1" thickBot="1" x14ac:dyDescent="0.25">
      <c r="O59" s="45">
        <v>44</v>
      </c>
      <c r="P59" s="607" t="s">
        <v>355</v>
      </c>
      <c r="Q59" s="642">
        <f>VLOOKUP(P59,Apoio!C:E,2,0)</f>
        <v>240000</v>
      </c>
      <c r="R59" s="609">
        <v>240000</v>
      </c>
      <c r="S59" s="359">
        <v>5</v>
      </c>
      <c r="T59" s="52">
        <v>18</v>
      </c>
      <c r="U59" s="31"/>
      <c r="V59" s="9"/>
      <c r="W59" s="67"/>
      <c r="Y59" s="52">
        <v>18</v>
      </c>
      <c r="Z59" s="31"/>
      <c r="AA59" s="9"/>
      <c r="AB59" s="67"/>
      <c r="AD59" s="52">
        <v>18</v>
      </c>
      <c r="AE59" s="31">
        <v>40483</v>
      </c>
      <c r="AF59" s="9">
        <v>0.1043999999896966</v>
      </c>
      <c r="AG59" s="67" t="e">
        <f>IF(AD59&lt;'DADOS DOS EMPREENDIMENTOS'!AF$11,0,IF(AD59='DADOS DOS EMPREENDIMENTOS'!AF$11,SUM(AF$41:AF59)*(1-'DADOS DOS EMPREENDIMENTOS'!#REF!-'DADOS DOS EMPREENDIMENTOS'!#REF!)+'DADOS DOS EMPREENDIMENTOS'!#REF!,IF(AD59='DADOS DOS EMPREENDIMENTOS'!#REF!,'DADOS DOS EMPREENDIMENTOS'!#REF!,AF59*(1-'DADOS DOS EMPREENDIMENTOS'!#REF!-'DADOS DOS EMPREENDIMENTOS'!#REF!))))</f>
        <v>#REF!</v>
      </c>
      <c r="AI59" s="52">
        <v>18</v>
      </c>
      <c r="AJ59" s="31">
        <v>40483</v>
      </c>
      <c r="AK59" s="9">
        <v>0.1043999999896966</v>
      </c>
      <c r="AL59" s="67" t="e">
        <f>IF(AI59&lt;'DADOS DOS EMPREENDIMENTOS'!AK$11,0,IF(AI59='DADOS DOS EMPREENDIMENTOS'!AK$11,SUM(AK$41:AK59)*(1-'DADOS DOS EMPREENDIMENTOS'!#REF!-'DADOS DOS EMPREENDIMENTOS'!#REF!)+'DADOS DOS EMPREENDIMENTOS'!#REF!,IF(AI59='DADOS DOS EMPREENDIMENTOS'!#REF!,'DADOS DOS EMPREENDIMENTOS'!#REF!,AK59*(1-'DADOS DOS EMPREENDIMENTOS'!#REF!-'DADOS DOS EMPREENDIMENTOS'!#REF!))))</f>
        <v>#REF!</v>
      </c>
      <c r="AN59" s="52">
        <v>18</v>
      </c>
      <c r="AO59" s="31">
        <v>40483</v>
      </c>
      <c r="AP59" s="9">
        <v>0.1043999999896966</v>
      </c>
      <c r="AQ59" s="67" t="e">
        <f>IF(AN59&lt;'DADOS DOS EMPREENDIMENTOS'!AP$11,0,IF(AN59='DADOS DOS EMPREENDIMENTOS'!AP$11,SUM(AP$41:AP59)*(1-'DADOS DOS EMPREENDIMENTOS'!#REF!-'DADOS DOS EMPREENDIMENTOS'!#REF!)+'DADOS DOS EMPREENDIMENTOS'!#REF!,IF(AN59='DADOS DOS EMPREENDIMENTOS'!#REF!,'DADOS DOS EMPREENDIMENTOS'!#REF!,AP59*(1-'DADOS DOS EMPREENDIMENTOS'!#REF!-'DADOS DOS EMPREENDIMENTOS'!#REF!))))</f>
        <v>#REF!</v>
      </c>
      <c r="AS59" s="52">
        <v>18</v>
      </c>
      <c r="AT59" s="31">
        <v>40483</v>
      </c>
      <c r="AU59" s="9">
        <v>0.1043999999896966</v>
      </c>
      <c r="AV59" s="67" t="e">
        <f>IF(AS59&lt;'DADOS DOS EMPREENDIMENTOS'!AU$11,0,IF(AS59='DADOS DOS EMPREENDIMENTOS'!AU$11,SUM(AU$41:AU59)*(1-'DADOS DOS EMPREENDIMENTOS'!#REF!-'DADOS DOS EMPREENDIMENTOS'!#REF!)+'DADOS DOS EMPREENDIMENTOS'!#REF!,IF(AS59='DADOS DOS EMPREENDIMENTOS'!#REF!,'DADOS DOS EMPREENDIMENTOS'!#REF!,AU59*(1-'DADOS DOS EMPREENDIMENTOS'!#REF!-'DADOS DOS EMPREENDIMENTOS'!#REF!))))</f>
        <v>#REF!</v>
      </c>
      <c r="AX59" s="52">
        <v>18</v>
      </c>
      <c r="AY59" s="31">
        <v>40483</v>
      </c>
      <c r="AZ59" s="9">
        <v>0.1043999999896966</v>
      </c>
      <c r="BA59" s="67" t="e">
        <f>IF(AX59&lt;'DADOS DOS EMPREENDIMENTOS'!AZ$11,0,IF(AX59='DADOS DOS EMPREENDIMENTOS'!AZ$11,SUM(AZ$41:AZ59)*(1-'DADOS DOS EMPREENDIMENTOS'!#REF!-'DADOS DOS EMPREENDIMENTOS'!#REF!)+'DADOS DOS EMPREENDIMENTOS'!#REF!,IF(AX59='DADOS DOS EMPREENDIMENTOS'!#REF!,'DADOS DOS EMPREENDIMENTOS'!#REF!,AZ59*(1-'DADOS DOS EMPREENDIMENTOS'!#REF!-'DADOS DOS EMPREENDIMENTOS'!#REF!))))</f>
        <v>#REF!</v>
      </c>
      <c r="BC59" s="52">
        <v>18</v>
      </c>
      <c r="BD59" s="31">
        <v>40483</v>
      </c>
      <c r="BE59" s="9">
        <v>0.1043999999896966</v>
      </c>
      <c r="BF59" s="67" t="e">
        <f>IF(BC59&lt;'DADOS DOS EMPREENDIMENTOS'!BE$11,0,IF(BC59='DADOS DOS EMPREENDIMENTOS'!BE$11,SUM(BE$41:BE59)*(1-'DADOS DOS EMPREENDIMENTOS'!#REF!-'DADOS DOS EMPREENDIMENTOS'!#REF!)+'DADOS DOS EMPREENDIMENTOS'!#REF!,IF(BC59='DADOS DOS EMPREENDIMENTOS'!#REF!,'DADOS DOS EMPREENDIMENTOS'!#REF!,BE59*(1-'DADOS DOS EMPREENDIMENTOS'!#REF!-'DADOS DOS EMPREENDIMENTOS'!#REF!))))</f>
        <v>#REF!</v>
      </c>
      <c r="BH59" s="52">
        <v>18</v>
      </c>
      <c r="BI59" s="31">
        <v>40483</v>
      </c>
      <c r="BJ59" s="9">
        <v>0.1043999999896966</v>
      </c>
      <c r="BK59" s="67" t="e">
        <f>IF(BH59&lt;'DADOS DOS EMPREENDIMENTOS'!BJ$11,0,IF(BH59='DADOS DOS EMPREENDIMENTOS'!BJ$11,SUM(BJ$41:BJ59)*(1-'DADOS DOS EMPREENDIMENTOS'!#REF!-'DADOS DOS EMPREENDIMENTOS'!#REF!)+'DADOS DOS EMPREENDIMENTOS'!#REF!,IF(BH59='DADOS DOS EMPREENDIMENTOS'!#REF!,'DADOS DOS EMPREENDIMENTOS'!#REF!,BJ59*(1-'DADOS DOS EMPREENDIMENTOS'!#REF!-'DADOS DOS EMPREENDIMENTOS'!#REF!))))</f>
        <v>#REF!</v>
      </c>
      <c r="BM59" s="52">
        <v>18</v>
      </c>
      <c r="BN59" s="31">
        <v>40483</v>
      </c>
      <c r="BO59" s="9">
        <v>0.1043999999896966</v>
      </c>
      <c r="BP59" s="67" t="e">
        <f>IF(BM59&lt;'DADOS DOS EMPREENDIMENTOS'!BO$11,0,IF(BM59='DADOS DOS EMPREENDIMENTOS'!BO$11,SUM(BO$41:BO59)*(1-'DADOS DOS EMPREENDIMENTOS'!#REF!-'DADOS DOS EMPREENDIMENTOS'!#REF!)+'DADOS DOS EMPREENDIMENTOS'!#REF!,IF(BM59='DADOS DOS EMPREENDIMENTOS'!BO$12,'DADOS DOS EMPREENDIMENTOS'!#REF!,BO59*(1-'DADOS DOS EMPREENDIMENTOS'!#REF!-'DADOS DOS EMPREENDIMENTOS'!#REF!))))</f>
        <v>#REF!</v>
      </c>
      <c r="BR59" s="52">
        <v>18</v>
      </c>
      <c r="BS59" s="31">
        <v>40483</v>
      </c>
      <c r="BT59" s="9">
        <v>0.1043999999896966</v>
      </c>
      <c r="BU59" s="67" t="e">
        <f>IF(BR59&lt;'DADOS DOS EMPREENDIMENTOS'!BT$11,0,IF(BR59='DADOS DOS EMPREENDIMENTOS'!BT$11,SUM(BT$41:BT59)*(1-'DADOS DOS EMPREENDIMENTOS'!#REF!-'DADOS DOS EMPREENDIMENTOS'!#REF!)+'DADOS DOS EMPREENDIMENTOS'!#REF!,IF(BR59='DADOS DOS EMPREENDIMENTOS'!BT$12,'DADOS DOS EMPREENDIMENTOS'!#REF!,BT59*(1-'DADOS DOS EMPREENDIMENTOS'!#REF!-'DADOS DOS EMPREENDIMENTOS'!#REF!))))</f>
        <v>#REF!</v>
      </c>
      <c r="BW59" s="52">
        <v>18</v>
      </c>
      <c r="BX59" s="31">
        <v>40483</v>
      </c>
      <c r="BY59" s="9">
        <v>0.1043999999896966</v>
      </c>
      <c r="BZ59" s="67" t="e">
        <f>IF(BW59&lt;'DADOS DOS EMPREENDIMENTOS'!BY$11,0,IF(BW59='DADOS DOS EMPREENDIMENTOS'!BY$11,SUM(BY$41:BY59)*(1-'DADOS DOS EMPREENDIMENTOS'!#REF!-'DADOS DOS EMPREENDIMENTOS'!#REF!)+'DADOS DOS EMPREENDIMENTOS'!#REF!,IF(BW59='DADOS DOS EMPREENDIMENTOS'!BY$12,'DADOS DOS EMPREENDIMENTOS'!#REF!,BY59*(1-'DADOS DOS EMPREENDIMENTOS'!#REF!-'DADOS DOS EMPREENDIMENTOS'!#REF!))))</f>
        <v>#REF!</v>
      </c>
      <c r="CB59" s="52">
        <v>18</v>
      </c>
      <c r="CC59" s="31">
        <v>40483</v>
      </c>
      <c r="CD59" s="9">
        <v>0.1043999999896966</v>
      </c>
      <c r="CE59" s="67" t="e">
        <f>IF(CB59&lt;'DADOS DOS EMPREENDIMENTOS'!CD$11,0,IF(CB59='DADOS DOS EMPREENDIMENTOS'!CD$11,SUM(CD$41:CD59)*(1-'DADOS DOS EMPREENDIMENTOS'!#REF!-'DADOS DOS EMPREENDIMENTOS'!#REF!)+'DADOS DOS EMPREENDIMENTOS'!#REF!,IF(CB59='DADOS DOS EMPREENDIMENTOS'!CD$12,'DADOS DOS EMPREENDIMENTOS'!#REF!,CD59*(1-'DADOS DOS EMPREENDIMENTOS'!#REF!-'DADOS DOS EMPREENDIMENTOS'!#REF!))))</f>
        <v>#REF!</v>
      </c>
      <c r="CG59" s="52"/>
      <c r="CH59" s="31"/>
      <c r="CI59" s="9"/>
      <c r="CJ59" s="67"/>
    </row>
    <row r="60" spans="15:88" ht="12.75" customHeight="1" thickBot="1" x14ac:dyDescent="0.25">
      <c r="O60" s="43">
        <v>45</v>
      </c>
      <c r="P60" s="607" t="s">
        <v>356</v>
      </c>
      <c r="Q60" s="642">
        <f>VLOOKUP(P60,Apoio!C:E,2,0)</f>
        <v>240000</v>
      </c>
      <c r="R60" s="609">
        <v>240000</v>
      </c>
      <c r="S60" s="359">
        <v>5</v>
      </c>
      <c r="T60" s="52">
        <v>19</v>
      </c>
      <c r="U60" s="31"/>
      <c r="V60" s="9"/>
      <c r="W60" s="67"/>
      <c r="Y60" s="52">
        <v>19</v>
      </c>
      <c r="Z60" s="31"/>
      <c r="AA60" s="9"/>
      <c r="AB60" s="67"/>
      <c r="AD60" s="52">
        <v>19</v>
      </c>
      <c r="AE60" s="31">
        <v>40513</v>
      </c>
      <c r="AF60" s="9">
        <v>5.6100000154837237E-2</v>
      </c>
      <c r="AG60" s="67" t="e">
        <f>IF(AD60&lt;'DADOS DOS EMPREENDIMENTOS'!AF$11,0,IF(AD60='DADOS DOS EMPREENDIMENTOS'!AF$11,SUM(AF$41:AF60)*(1-'DADOS DOS EMPREENDIMENTOS'!#REF!-'DADOS DOS EMPREENDIMENTOS'!#REF!)+'DADOS DOS EMPREENDIMENTOS'!#REF!,IF(AD60='DADOS DOS EMPREENDIMENTOS'!#REF!,'DADOS DOS EMPREENDIMENTOS'!#REF!,AF60*(1-'DADOS DOS EMPREENDIMENTOS'!#REF!-'DADOS DOS EMPREENDIMENTOS'!#REF!))))</f>
        <v>#REF!</v>
      </c>
      <c r="AI60" s="52">
        <v>19</v>
      </c>
      <c r="AJ60" s="31">
        <v>40513</v>
      </c>
      <c r="AK60" s="9">
        <v>5.6100000154837237E-2</v>
      </c>
      <c r="AL60" s="67" t="e">
        <f>IF(AI60&lt;'DADOS DOS EMPREENDIMENTOS'!AK$11,0,IF(AI60='DADOS DOS EMPREENDIMENTOS'!AK$11,SUM(AK$41:AK60)*(1-'DADOS DOS EMPREENDIMENTOS'!#REF!-'DADOS DOS EMPREENDIMENTOS'!#REF!)+'DADOS DOS EMPREENDIMENTOS'!#REF!,IF(AI60='DADOS DOS EMPREENDIMENTOS'!#REF!,'DADOS DOS EMPREENDIMENTOS'!#REF!,AK60*(1-'DADOS DOS EMPREENDIMENTOS'!#REF!-'DADOS DOS EMPREENDIMENTOS'!#REF!))))</f>
        <v>#REF!</v>
      </c>
      <c r="AN60" s="52">
        <v>19</v>
      </c>
      <c r="AO60" s="31">
        <v>40513</v>
      </c>
      <c r="AP60" s="9">
        <v>5.6100000154837237E-2</v>
      </c>
      <c r="AQ60" s="67" t="e">
        <f>IF(AN60&lt;'DADOS DOS EMPREENDIMENTOS'!AP$11,0,IF(AN60='DADOS DOS EMPREENDIMENTOS'!AP$11,SUM(AP$41:AP60)*(1-'DADOS DOS EMPREENDIMENTOS'!#REF!-'DADOS DOS EMPREENDIMENTOS'!#REF!)+'DADOS DOS EMPREENDIMENTOS'!#REF!,IF(AN60='DADOS DOS EMPREENDIMENTOS'!#REF!,'DADOS DOS EMPREENDIMENTOS'!#REF!,AP60*(1-'DADOS DOS EMPREENDIMENTOS'!#REF!-'DADOS DOS EMPREENDIMENTOS'!#REF!))))</f>
        <v>#REF!</v>
      </c>
      <c r="AS60" s="52">
        <v>19</v>
      </c>
      <c r="AT60" s="31">
        <v>40513</v>
      </c>
      <c r="AU60" s="9">
        <v>5.6100000154837237E-2</v>
      </c>
      <c r="AV60" s="67" t="e">
        <f>IF(AS60&lt;'DADOS DOS EMPREENDIMENTOS'!AU$11,0,IF(AS60='DADOS DOS EMPREENDIMENTOS'!AU$11,SUM(AU$41:AU60)*(1-'DADOS DOS EMPREENDIMENTOS'!#REF!-'DADOS DOS EMPREENDIMENTOS'!#REF!)+'DADOS DOS EMPREENDIMENTOS'!#REF!,IF(AS60='DADOS DOS EMPREENDIMENTOS'!#REF!,'DADOS DOS EMPREENDIMENTOS'!#REF!,AU60*(1-'DADOS DOS EMPREENDIMENTOS'!#REF!-'DADOS DOS EMPREENDIMENTOS'!#REF!))))</f>
        <v>#REF!</v>
      </c>
      <c r="AX60" s="52">
        <v>19</v>
      </c>
      <c r="AY60" s="31">
        <v>40513</v>
      </c>
      <c r="AZ60" s="9">
        <v>5.6100000154837237E-2</v>
      </c>
      <c r="BA60" s="67" t="e">
        <f>IF(AX60&lt;'DADOS DOS EMPREENDIMENTOS'!AZ$11,0,IF(AX60='DADOS DOS EMPREENDIMENTOS'!AZ$11,SUM(AZ$41:AZ60)*(1-'DADOS DOS EMPREENDIMENTOS'!#REF!-'DADOS DOS EMPREENDIMENTOS'!#REF!)+'DADOS DOS EMPREENDIMENTOS'!#REF!,IF(AX60='DADOS DOS EMPREENDIMENTOS'!#REF!,'DADOS DOS EMPREENDIMENTOS'!#REF!,AZ60*(1-'DADOS DOS EMPREENDIMENTOS'!#REF!-'DADOS DOS EMPREENDIMENTOS'!#REF!))))</f>
        <v>#REF!</v>
      </c>
      <c r="BC60" s="52">
        <v>19</v>
      </c>
      <c r="BD60" s="31">
        <v>40513</v>
      </c>
      <c r="BE60" s="9">
        <v>5.6100000154837237E-2</v>
      </c>
      <c r="BF60" s="67" t="e">
        <f>IF(BC60&lt;'DADOS DOS EMPREENDIMENTOS'!BE$11,0,IF(BC60='DADOS DOS EMPREENDIMENTOS'!BE$11,SUM(BE$41:BE60)*(1-'DADOS DOS EMPREENDIMENTOS'!#REF!-'DADOS DOS EMPREENDIMENTOS'!#REF!)+'DADOS DOS EMPREENDIMENTOS'!#REF!,IF(BC60='DADOS DOS EMPREENDIMENTOS'!#REF!,'DADOS DOS EMPREENDIMENTOS'!#REF!,BE60*(1-'DADOS DOS EMPREENDIMENTOS'!#REF!-'DADOS DOS EMPREENDIMENTOS'!#REF!))))</f>
        <v>#REF!</v>
      </c>
      <c r="BH60" s="52">
        <v>19</v>
      </c>
      <c r="BI60" s="31">
        <v>40513</v>
      </c>
      <c r="BJ60" s="9">
        <v>5.6100000154837237E-2</v>
      </c>
      <c r="BK60" s="67" t="e">
        <f>IF(BH60&lt;'DADOS DOS EMPREENDIMENTOS'!BJ$11,0,IF(BH60='DADOS DOS EMPREENDIMENTOS'!BJ$11,SUM(BJ$41:BJ60)*(1-'DADOS DOS EMPREENDIMENTOS'!#REF!-'DADOS DOS EMPREENDIMENTOS'!#REF!)+'DADOS DOS EMPREENDIMENTOS'!#REF!,IF(BH60='DADOS DOS EMPREENDIMENTOS'!#REF!,'DADOS DOS EMPREENDIMENTOS'!#REF!,BJ60*(1-'DADOS DOS EMPREENDIMENTOS'!#REF!-'DADOS DOS EMPREENDIMENTOS'!#REF!))))</f>
        <v>#REF!</v>
      </c>
      <c r="BM60" s="52">
        <v>19</v>
      </c>
      <c r="BN60" s="31">
        <v>40513</v>
      </c>
      <c r="BO60" s="9">
        <v>5.6100000154837237E-2</v>
      </c>
      <c r="BP60" s="67" t="e">
        <f>IF(BM60&lt;'DADOS DOS EMPREENDIMENTOS'!BO$11,0,IF(BM60='DADOS DOS EMPREENDIMENTOS'!BO$11,SUM(BO$41:BO60)*(1-'DADOS DOS EMPREENDIMENTOS'!#REF!-'DADOS DOS EMPREENDIMENTOS'!#REF!)+'DADOS DOS EMPREENDIMENTOS'!#REF!,IF(BM60='DADOS DOS EMPREENDIMENTOS'!BO$12,'DADOS DOS EMPREENDIMENTOS'!#REF!,BO60*(1-'DADOS DOS EMPREENDIMENTOS'!#REF!-'DADOS DOS EMPREENDIMENTOS'!#REF!))))</f>
        <v>#REF!</v>
      </c>
      <c r="BR60" s="52">
        <v>19</v>
      </c>
      <c r="BS60" s="31">
        <v>40513</v>
      </c>
      <c r="BT60" s="9">
        <v>5.6100000154837237E-2</v>
      </c>
      <c r="BU60" s="67" t="e">
        <f>IF(BR60&lt;'DADOS DOS EMPREENDIMENTOS'!BT$11,0,IF(BR60='DADOS DOS EMPREENDIMENTOS'!BT$11,SUM(BT$41:BT60)*(1-'DADOS DOS EMPREENDIMENTOS'!#REF!-'DADOS DOS EMPREENDIMENTOS'!#REF!)+'DADOS DOS EMPREENDIMENTOS'!#REF!,IF(BR60='DADOS DOS EMPREENDIMENTOS'!BT$12,'DADOS DOS EMPREENDIMENTOS'!#REF!,BT60*(1-'DADOS DOS EMPREENDIMENTOS'!#REF!-'DADOS DOS EMPREENDIMENTOS'!#REF!))))</f>
        <v>#REF!</v>
      </c>
      <c r="BW60" s="52">
        <v>19</v>
      </c>
      <c r="BX60" s="31">
        <v>40513</v>
      </c>
      <c r="BY60" s="9">
        <v>5.6100000154837237E-2</v>
      </c>
      <c r="BZ60" s="67" t="e">
        <f>IF(BW60&lt;'DADOS DOS EMPREENDIMENTOS'!BY$11,0,IF(BW60='DADOS DOS EMPREENDIMENTOS'!BY$11,SUM(BY$41:BY60)*(1-'DADOS DOS EMPREENDIMENTOS'!#REF!-'DADOS DOS EMPREENDIMENTOS'!#REF!)+'DADOS DOS EMPREENDIMENTOS'!#REF!,IF(BW60='DADOS DOS EMPREENDIMENTOS'!BY$12,'DADOS DOS EMPREENDIMENTOS'!#REF!,BY60*(1-'DADOS DOS EMPREENDIMENTOS'!#REF!-'DADOS DOS EMPREENDIMENTOS'!#REF!))))</f>
        <v>#REF!</v>
      </c>
      <c r="CB60" s="52">
        <v>19</v>
      </c>
      <c r="CC60" s="31">
        <v>40513</v>
      </c>
      <c r="CD60" s="9">
        <v>5.6100000154837237E-2</v>
      </c>
      <c r="CE60" s="67" t="e">
        <f>IF(CB60&lt;'DADOS DOS EMPREENDIMENTOS'!CD$11,0,IF(CB60='DADOS DOS EMPREENDIMENTOS'!CD$11,SUM(CD$41:CD60)*(1-'DADOS DOS EMPREENDIMENTOS'!#REF!-'DADOS DOS EMPREENDIMENTOS'!#REF!)+'DADOS DOS EMPREENDIMENTOS'!#REF!,IF(CB60='DADOS DOS EMPREENDIMENTOS'!CD$12,'DADOS DOS EMPREENDIMENTOS'!#REF!,CD60*(1-'DADOS DOS EMPREENDIMENTOS'!#REF!-'DADOS DOS EMPREENDIMENTOS'!#REF!))))</f>
        <v>#REF!</v>
      </c>
      <c r="CG60" s="52"/>
      <c r="CH60" s="31"/>
      <c r="CI60" s="9"/>
      <c r="CJ60" s="67"/>
    </row>
    <row r="61" spans="15:88" ht="12.75" customHeight="1" thickBot="1" x14ac:dyDescent="0.25">
      <c r="O61" s="45">
        <v>46</v>
      </c>
      <c r="P61" s="607" t="s">
        <v>357</v>
      </c>
      <c r="Q61" s="642">
        <f>VLOOKUP(P61,Apoio!C:E,2,0)</f>
        <v>240000</v>
      </c>
      <c r="R61" s="609">
        <v>240000</v>
      </c>
      <c r="S61" s="359">
        <v>5</v>
      </c>
      <c r="T61" s="52">
        <v>20</v>
      </c>
      <c r="U61" s="31"/>
      <c r="V61" s="9"/>
      <c r="W61" s="67"/>
      <c r="Y61" s="52">
        <v>20</v>
      </c>
      <c r="Z61" s="31"/>
      <c r="AA61" s="9"/>
      <c r="AB61" s="67"/>
      <c r="AD61" s="52">
        <v>20</v>
      </c>
      <c r="AE61" s="31">
        <v>40544</v>
      </c>
      <c r="AF61" s="9">
        <v>8.9000001265982839E-3</v>
      </c>
      <c r="AG61" s="67" t="e">
        <f>IF(AD61&lt;'DADOS DOS EMPREENDIMENTOS'!AF$11,0,IF(AD61='DADOS DOS EMPREENDIMENTOS'!AF$11,SUM(AF$41:AF61)*(1-'DADOS DOS EMPREENDIMENTOS'!#REF!-'DADOS DOS EMPREENDIMENTOS'!#REF!)+'DADOS DOS EMPREENDIMENTOS'!#REF!,IF(AD61='DADOS DOS EMPREENDIMENTOS'!#REF!,'DADOS DOS EMPREENDIMENTOS'!#REF!,AF61*(1-'DADOS DOS EMPREENDIMENTOS'!#REF!-'DADOS DOS EMPREENDIMENTOS'!#REF!))))</f>
        <v>#REF!</v>
      </c>
      <c r="AI61" s="52">
        <v>20</v>
      </c>
      <c r="AJ61" s="31">
        <v>40544</v>
      </c>
      <c r="AK61" s="9">
        <v>8.9000001265982839E-3</v>
      </c>
      <c r="AL61" s="67" t="e">
        <f>IF(AI61&lt;'DADOS DOS EMPREENDIMENTOS'!AK$11,0,IF(AI61='DADOS DOS EMPREENDIMENTOS'!AK$11,SUM(AK$41:AK61)*(1-'DADOS DOS EMPREENDIMENTOS'!#REF!-'DADOS DOS EMPREENDIMENTOS'!#REF!)+'DADOS DOS EMPREENDIMENTOS'!#REF!,IF(AI61='DADOS DOS EMPREENDIMENTOS'!#REF!,'DADOS DOS EMPREENDIMENTOS'!#REF!,AK61*(1-'DADOS DOS EMPREENDIMENTOS'!#REF!-'DADOS DOS EMPREENDIMENTOS'!#REF!))))</f>
        <v>#REF!</v>
      </c>
      <c r="AN61" s="52">
        <v>20</v>
      </c>
      <c r="AO61" s="31">
        <v>40544</v>
      </c>
      <c r="AP61" s="9">
        <v>8.9000001265982839E-3</v>
      </c>
      <c r="AQ61" s="67" t="e">
        <f>IF(AN61&lt;'DADOS DOS EMPREENDIMENTOS'!AP$11,0,IF(AN61='DADOS DOS EMPREENDIMENTOS'!AP$11,SUM(AP$41:AP61)*(1-'DADOS DOS EMPREENDIMENTOS'!#REF!-'DADOS DOS EMPREENDIMENTOS'!#REF!)+'DADOS DOS EMPREENDIMENTOS'!#REF!,IF(AN61='DADOS DOS EMPREENDIMENTOS'!#REF!,'DADOS DOS EMPREENDIMENTOS'!#REF!,AP61*(1-'DADOS DOS EMPREENDIMENTOS'!#REF!-'DADOS DOS EMPREENDIMENTOS'!#REF!))))</f>
        <v>#REF!</v>
      </c>
      <c r="AS61" s="52">
        <v>20</v>
      </c>
      <c r="AT61" s="31">
        <v>40544</v>
      </c>
      <c r="AU61" s="9">
        <v>8.9000001265982839E-3</v>
      </c>
      <c r="AV61" s="67" t="e">
        <f>IF(AS61&lt;'DADOS DOS EMPREENDIMENTOS'!AU$11,0,IF(AS61='DADOS DOS EMPREENDIMENTOS'!AU$11,SUM(AU$41:AU61)*(1-'DADOS DOS EMPREENDIMENTOS'!#REF!-'DADOS DOS EMPREENDIMENTOS'!#REF!)+'DADOS DOS EMPREENDIMENTOS'!#REF!,IF(AS61='DADOS DOS EMPREENDIMENTOS'!#REF!,'DADOS DOS EMPREENDIMENTOS'!#REF!,AU61*(1-'DADOS DOS EMPREENDIMENTOS'!#REF!-'DADOS DOS EMPREENDIMENTOS'!#REF!))))</f>
        <v>#REF!</v>
      </c>
      <c r="AX61" s="52">
        <v>20</v>
      </c>
      <c r="AY61" s="31">
        <v>40544</v>
      </c>
      <c r="AZ61" s="9">
        <v>8.9000001265982839E-3</v>
      </c>
      <c r="BA61" s="67" t="e">
        <f>IF(AX61&lt;'DADOS DOS EMPREENDIMENTOS'!AZ$11,0,IF(AX61='DADOS DOS EMPREENDIMENTOS'!AZ$11,SUM(AZ$41:AZ61)*(1-'DADOS DOS EMPREENDIMENTOS'!#REF!-'DADOS DOS EMPREENDIMENTOS'!#REF!)+'DADOS DOS EMPREENDIMENTOS'!#REF!,IF(AX61='DADOS DOS EMPREENDIMENTOS'!#REF!,'DADOS DOS EMPREENDIMENTOS'!#REF!,AZ61*(1-'DADOS DOS EMPREENDIMENTOS'!#REF!-'DADOS DOS EMPREENDIMENTOS'!#REF!))))</f>
        <v>#REF!</v>
      </c>
      <c r="BC61" s="52">
        <v>20</v>
      </c>
      <c r="BD61" s="31">
        <v>40544</v>
      </c>
      <c r="BE61" s="9">
        <v>8.9000001265982839E-3</v>
      </c>
      <c r="BF61" s="67" t="e">
        <f>IF(BC61&lt;'DADOS DOS EMPREENDIMENTOS'!BE$11,0,IF(BC61='DADOS DOS EMPREENDIMENTOS'!BE$11,SUM(BE$41:BE61)*(1-'DADOS DOS EMPREENDIMENTOS'!#REF!-'DADOS DOS EMPREENDIMENTOS'!#REF!)+'DADOS DOS EMPREENDIMENTOS'!#REF!,IF(BC61='DADOS DOS EMPREENDIMENTOS'!#REF!,'DADOS DOS EMPREENDIMENTOS'!#REF!,BE61*(1-'DADOS DOS EMPREENDIMENTOS'!#REF!-'DADOS DOS EMPREENDIMENTOS'!#REF!))))</f>
        <v>#REF!</v>
      </c>
      <c r="BH61" s="52">
        <v>20</v>
      </c>
      <c r="BI61" s="31">
        <v>40544</v>
      </c>
      <c r="BJ61" s="9">
        <v>8.9000001265982839E-3</v>
      </c>
      <c r="BK61" s="67" t="e">
        <f>IF(BH61&lt;'DADOS DOS EMPREENDIMENTOS'!BJ$11,0,IF(BH61='DADOS DOS EMPREENDIMENTOS'!BJ$11,SUM(BJ$41:BJ61)*(1-'DADOS DOS EMPREENDIMENTOS'!#REF!-'DADOS DOS EMPREENDIMENTOS'!#REF!)+'DADOS DOS EMPREENDIMENTOS'!#REF!,IF(BH61='DADOS DOS EMPREENDIMENTOS'!#REF!,'DADOS DOS EMPREENDIMENTOS'!#REF!,BJ61*(1-'DADOS DOS EMPREENDIMENTOS'!#REF!-'DADOS DOS EMPREENDIMENTOS'!#REF!))))</f>
        <v>#REF!</v>
      </c>
      <c r="BM61" s="52">
        <v>20</v>
      </c>
      <c r="BN61" s="31">
        <v>40544</v>
      </c>
      <c r="BO61" s="9">
        <v>8.9000001265982839E-3</v>
      </c>
      <c r="BP61" s="67" t="e">
        <f>IF(BM61&lt;'DADOS DOS EMPREENDIMENTOS'!BO$11,0,IF(BM61='DADOS DOS EMPREENDIMENTOS'!BO$11,SUM(BO$41:BO61)*(1-'DADOS DOS EMPREENDIMENTOS'!#REF!-'DADOS DOS EMPREENDIMENTOS'!#REF!)+'DADOS DOS EMPREENDIMENTOS'!#REF!,IF(BM61='DADOS DOS EMPREENDIMENTOS'!BO$12,'DADOS DOS EMPREENDIMENTOS'!#REF!,BO61*(1-'DADOS DOS EMPREENDIMENTOS'!#REF!-'DADOS DOS EMPREENDIMENTOS'!#REF!))))</f>
        <v>#REF!</v>
      </c>
      <c r="BR61" s="52">
        <v>20</v>
      </c>
      <c r="BS61" s="31">
        <v>40544</v>
      </c>
      <c r="BT61" s="9">
        <v>8.9000001265982839E-3</v>
      </c>
      <c r="BU61" s="67" t="e">
        <f>IF(BR61&lt;'DADOS DOS EMPREENDIMENTOS'!BT$11,0,IF(BR61='DADOS DOS EMPREENDIMENTOS'!BT$11,SUM(BT$41:BT61)*(1-'DADOS DOS EMPREENDIMENTOS'!#REF!-'DADOS DOS EMPREENDIMENTOS'!#REF!)+'DADOS DOS EMPREENDIMENTOS'!#REF!,IF(BR61='DADOS DOS EMPREENDIMENTOS'!BT$12,'DADOS DOS EMPREENDIMENTOS'!#REF!,BT61*(1-'DADOS DOS EMPREENDIMENTOS'!#REF!-'DADOS DOS EMPREENDIMENTOS'!#REF!))))</f>
        <v>#REF!</v>
      </c>
      <c r="BW61" s="52">
        <v>20</v>
      </c>
      <c r="BX61" s="31">
        <v>40544</v>
      </c>
      <c r="BY61" s="9">
        <v>8.9000001265982839E-3</v>
      </c>
      <c r="BZ61" s="67" t="e">
        <f>IF(BW61&lt;'DADOS DOS EMPREENDIMENTOS'!BY$11,0,IF(BW61='DADOS DOS EMPREENDIMENTOS'!BY$11,SUM(BY$41:BY61)*(1-'DADOS DOS EMPREENDIMENTOS'!#REF!-'DADOS DOS EMPREENDIMENTOS'!#REF!)+'DADOS DOS EMPREENDIMENTOS'!#REF!,IF(BW61='DADOS DOS EMPREENDIMENTOS'!BY$12,'DADOS DOS EMPREENDIMENTOS'!#REF!,BY61*(1-'DADOS DOS EMPREENDIMENTOS'!#REF!-'DADOS DOS EMPREENDIMENTOS'!#REF!))))</f>
        <v>#REF!</v>
      </c>
      <c r="CB61" s="52">
        <v>20</v>
      </c>
      <c r="CC61" s="31">
        <v>40544</v>
      </c>
      <c r="CD61" s="9">
        <v>8.9000001265982839E-3</v>
      </c>
      <c r="CE61" s="67" t="e">
        <f>IF(CB61&lt;'DADOS DOS EMPREENDIMENTOS'!CD$11,0,IF(CB61='DADOS DOS EMPREENDIMENTOS'!CD$11,SUM(CD$41:CD61)*(1-'DADOS DOS EMPREENDIMENTOS'!#REF!-'DADOS DOS EMPREENDIMENTOS'!#REF!)+'DADOS DOS EMPREENDIMENTOS'!#REF!,IF(CB61='DADOS DOS EMPREENDIMENTOS'!CD$12,'DADOS DOS EMPREENDIMENTOS'!#REF!,CD61*(1-'DADOS DOS EMPREENDIMENTOS'!#REF!-'DADOS DOS EMPREENDIMENTOS'!#REF!))))</f>
        <v>#REF!</v>
      </c>
      <c r="CG61" s="52"/>
      <c r="CH61" s="31"/>
      <c r="CI61" s="9"/>
      <c r="CJ61" s="67"/>
    </row>
    <row r="62" spans="15:88" ht="12.75" customHeight="1" thickBot="1" x14ac:dyDescent="0.25">
      <c r="O62" s="43">
        <v>47</v>
      </c>
      <c r="P62" s="607" t="s">
        <v>358</v>
      </c>
      <c r="Q62" s="642">
        <f>VLOOKUP(P62,Apoio!C:E,2,0)</f>
        <v>240000</v>
      </c>
      <c r="R62" s="609">
        <v>240000</v>
      </c>
      <c r="S62" s="359">
        <v>5</v>
      </c>
      <c r="T62" s="52">
        <v>21</v>
      </c>
      <c r="U62" s="31"/>
      <c r="V62" s="9"/>
      <c r="W62" s="67"/>
      <c r="Y62" s="52">
        <v>21</v>
      </c>
      <c r="Z62" s="31"/>
      <c r="AA62" s="9"/>
      <c r="AB62" s="67"/>
      <c r="AD62" s="52">
        <v>21</v>
      </c>
      <c r="AE62" s="31">
        <v>40575</v>
      </c>
      <c r="AF62" s="9">
        <v>0</v>
      </c>
      <c r="AG62" s="67" t="e">
        <f>IF(AD62&lt;'DADOS DOS EMPREENDIMENTOS'!AF$11,0,IF(AD62='DADOS DOS EMPREENDIMENTOS'!AF$11,SUM(AF$41:AF62)*(1-'DADOS DOS EMPREENDIMENTOS'!#REF!-'DADOS DOS EMPREENDIMENTOS'!#REF!)+'DADOS DOS EMPREENDIMENTOS'!#REF!,IF(AD62='DADOS DOS EMPREENDIMENTOS'!#REF!,'DADOS DOS EMPREENDIMENTOS'!#REF!,AF62*(1-'DADOS DOS EMPREENDIMENTOS'!#REF!-'DADOS DOS EMPREENDIMENTOS'!#REF!))))</f>
        <v>#REF!</v>
      </c>
      <c r="AI62" s="52">
        <v>21</v>
      </c>
      <c r="AJ62" s="31">
        <v>40575</v>
      </c>
      <c r="AK62" s="9">
        <v>0</v>
      </c>
      <c r="AL62" s="67" t="e">
        <f>IF(AI62&lt;'DADOS DOS EMPREENDIMENTOS'!AK$11,0,IF(AI62='DADOS DOS EMPREENDIMENTOS'!AK$11,SUM(AK$41:AK62)*(1-'DADOS DOS EMPREENDIMENTOS'!#REF!-'DADOS DOS EMPREENDIMENTOS'!#REF!)+'DADOS DOS EMPREENDIMENTOS'!#REF!,IF(AI62='DADOS DOS EMPREENDIMENTOS'!#REF!,'DADOS DOS EMPREENDIMENTOS'!#REF!,AK62*(1-'DADOS DOS EMPREENDIMENTOS'!#REF!-'DADOS DOS EMPREENDIMENTOS'!#REF!))))</f>
        <v>#REF!</v>
      </c>
      <c r="AN62" s="52">
        <v>21</v>
      </c>
      <c r="AO62" s="31">
        <v>40575</v>
      </c>
      <c r="AP62" s="9">
        <v>0</v>
      </c>
      <c r="AQ62" s="67" t="e">
        <f>IF(AN62&lt;'DADOS DOS EMPREENDIMENTOS'!AP$11,0,IF(AN62='DADOS DOS EMPREENDIMENTOS'!AP$11,SUM(AP$41:AP62)*(1-'DADOS DOS EMPREENDIMENTOS'!#REF!-'DADOS DOS EMPREENDIMENTOS'!#REF!)+'DADOS DOS EMPREENDIMENTOS'!#REF!,IF(AN62='DADOS DOS EMPREENDIMENTOS'!#REF!,'DADOS DOS EMPREENDIMENTOS'!#REF!,AP62*(1-'DADOS DOS EMPREENDIMENTOS'!#REF!-'DADOS DOS EMPREENDIMENTOS'!#REF!))))</f>
        <v>#REF!</v>
      </c>
      <c r="AS62" s="52">
        <v>21</v>
      </c>
      <c r="AT62" s="31">
        <v>40575</v>
      </c>
      <c r="AU62" s="9">
        <v>0</v>
      </c>
      <c r="AV62" s="67" t="e">
        <f>IF(AS62&lt;'DADOS DOS EMPREENDIMENTOS'!AU$11,0,IF(AS62='DADOS DOS EMPREENDIMENTOS'!AU$11,SUM(AU$41:AU62)*(1-'DADOS DOS EMPREENDIMENTOS'!#REF!-'DADOS DOS EMPREENDIMENTOS'!#REF!)+'DADOS DOS EMPREENDIMENTOS'!#REF!,IF(AS62='DADOS DOS EMPREENDIMENTOS'!#REF!,'DADOS DOS EMPREENDIMENTOS'!#REF!,AU62*(1-'DADOS DOS EMPREENDIMENTOS'!#REF!-'DADOS DOS EMPREENDIMENTOS'!#REF!))))</f>
        <v>#REF!</v>
      </c>
      <c r="AX62" s="52">
        <v>21</v>
      </c>
      <c r="AY62" s="31">
        <v>40575</v>
      </c>
      <c r="AZ62" s="9">
        <v>0</v>
      </c>
      <c r="BA62" s="67" t="e">
        <f>IF(AX62&lt;'DADOS DOS EMPREENDIMENTOS'!AZ$11,0,IF(AX62='DADOS DOS EMPREENDIMENTOS'!AZ$11,SUM(AZ$41:AZ62)*(1-'DADOS DOS EMPREENDIMENTOS'!#REF!-'DADOS DOS EMPREENDIMENTOS'!#REF!)+'DADOS DOS EMPREENDIMENTOS'!#REF!,IF(AX62='DADOS DOS EMPREENDIMENTOS'!#REF!,'DADOS DOS EMPREENDIMENTOS'!#REF!,AZ62*(1-'DADOS DOS EMPREENDIMENTOS'!#REF!-'DADOS DOS EMPREENDIMENTOS'!#REF!))))</f>
        <v>#REF!</v>
      </c>
      <c r="BC62" s="52">
        <v>21</v>
      </c>
      <c r="BD62" s="31">
        <v>40575</v>
      </c>
      <c r="BE62" s="9">
        <v>0</v>
      </c>
      <c r="BF62" s="67" t="e">
        <f>IF(BC62&lt;'DADOS DOS EMPREENDIMENTOS'!BE$11,0,IF(BC62='DADOS DOS EMPREENDIMENTOS'!BE$11,SUM(BE$41:BE62)*(1-'DADOS DOS EMPREENDIMENTOS'!#REF!-'DADOS DOS EMPREENDIMENTOS'!#REF!)+'DADOS DOS EMPREENDIMENTOS'!#REF!,IF(BC62='DADOS DOS EMPREENDIMENTOS'!#REF!,'DADOS DOS EMPREENDIMENTOS'!#REF!,BE62*(1-'DADOS DOS EMPREENDIMENTOS'!#REF!-'DADOS DOS EMPREENDIMENTOS'!#REF!))))</f>
        <v>#REF!</v>
      </c>
      <c r="BH62" s="52">
        <v>21</v>
      </c>
      <c r="BI62" s="31">
        <v>40575</v>
      </c>
      <c r="BJ62" s="9">
        <v>0</v>
      </c>
      <c r="BK62" s="67" t="e">
        <f>IF(BH62&lt;'DADOS DOS EMPREENDIMENTOS'!BJ$11,0,IF(BH62='DADOS DOS EMPREENDIMENTOS'!BJ$11,SUM(BJ$41:BJ62)*(1-'DADOS DOS EMPREENDIMENTOS'!#REF!-'DADOS DOS EMPREENDIMENTOS'!#REF!)+'DADOS DOS EMPREENDIMENTOS'!#REF!,IF(BH62='DADOS DOS EMPREENDIMENTOS'!#REF!,'DADOS DOS EMPREENDIMENTOS'!#REF!,BJ62*(1-'DADOS DOS EMPREENDIMENTOS'!#REF!-'DADOS DOS EMPREENDIMENTOS'!#REF!))))</f>
        <v>#REF!</v>
      </c>
      <c r="BM62" s="52">
        <v>21</v>
      </c>
      <c r="BN62" s="31">
        <v>40575</v>
      </c>
      <c r="BO62" s="9">
        <v>0</v>
      </c>
      <c r="BP62" s="67" t="e">
        <f>IF(BM62&lt;'DADOS DOS EMPREENDIMENTOS'!BO$11,0,IF(BM62='DADOS DOS EMPREENDIMENTOS'!BO$11,SUM(BO$41:BO62)*(1-'DADOS DOS EMPREENDIMENTOS'!#REF!-'DADOS DOS EMPREENDIMENTOS'!#REF!)+'DADOS DOS EMPREENDIMENTOS'!#REF!,IF(BM62='DADOS DOS EMPREENDIMENTOS'!BO$12,'DADOS DOS EMPREENDIMENTOS'!#REF!,BO62*(1-'DADOS DOS EMPREENDIMENTOS'!#REF!-'DADOS DOS EMPREENDIMENTOS'!#REF!))))</f>
        <v>#REF!</v>
      </c>
      <c r="BR62" s="52">
        <v>21</v>
      </c>
      <c r="BS62" s="31">
        <v>40575</v>
      </c>
      <c r="BT62" s="9">
        <v>0</v>
      </c>
      <c r="BU62" s="67" t="e">
        <f>IF(BR62&lt;'DADOS DOS EMPREENDIMENTOS'!BT$11,0,IF(BR62='DADOS DOS EMPREENDIMENTOS'!BT$11,SUM(BT$41:BT62)*(1-'DADOS DOS EMPREENDIMENTOS'!#REF!-'DADOS DOS EMPREENDIMENTOS'!#REF!)+'DADOS DOS EMPREENDIMENTOS'!#REF!,IF(BR62='DADOS DOS EMPREENDIMENTOS'!BT$12,'DADOS DOS EMPREENDIMENTOS'!#REF!,BT62*(1-'DADOS DOS EMPREENDIMENTOS'!#REF!-'DADOS DOS EMPREENDIMENTOS'!#REF!))))</f>
        <v>#REF!</v>
      </c>
      <c r="BW62" s="52">
        <v>21</v>
      </c>
      <c r="BX62" s="31">
        <v>40575</v>
      </c>
      <c r="BY62" s="9">
        <v>0</v>
      </c>
      <c r="BZ62" s="67" t="e">
        <f>IF(BW62&lt;'DADOS DOS EMPREENDIMENTOS'!BY$11,0,IF(BW62='DADOS DOS EMPREENDIMENTOS'!BY$11,SUM(BY$41:BY62)*(1-'DADOS DOS EMPREENDIMENTOS'!#REF!-'DADOS DOS EMPREENDIMENTOS'!#REF!)+'DADOS DOS EMPREENDIMENTOS'!#REF!,IF(BW62='DADOS DOS EMPREENDIMENTOS'!BY$12,'DADOS DOS EMPREENDIMENTOS'!#REF!,BY62*(1-'DADOS DOS EMPREENDIMENTOS'!#REF!-'DADOS DOS EMPREENDIMENTOS'!#REF!))))</f>
        <v>#REF!</v>
      </c>
      <c r="CB62" s="52">
        <v>21</v>
      </c>
      <c r="CC62" s="31">
        <v>40575</v>
      </c>
      <c r="CD62" s="9">
        <v>0</v>
      </c>
      <c r="CE62" s="67" t="e">
        <f>IF(CB62&lt;'DADOS DOS EMPREENDIMENTOS'!CD$11,0,IF(CB62='DADOS DOS EMPREENDIMENTOS'!CD$11,SUM(CD$41:CD62)*(1-'DADOS DOS EMPREENDIMENTOS'!#REF!-'DADOS DOS EMPREENDIMENTOS'!#REF!)+'DADOS DOS EMPREENDIMENTOS'!#REF!,IF(CB62='DADOS DOS EMPREENDIMENTOS'!CD$12,'DADOS DOS EMPREENDIMENTOS'!#REF!,CD62*(1-'DADOS DOS EMPREENDIMENTOS'!#REF!-'DADOS DOS EMPREENDIMENTOS'!#REF!))))</f>
        <v>#REF!</v>
      </c>
      <c r="CG62" s="52"/>
      <c r="CH62" s="31"/>
      <c r="CI62" s="9"/>
      <c r="CJ62" s="67"/>
    </row>
    <row r="63" spans="15:88" ht="12.75" customHeight="1" thickBot="1" x14ac:dyDescent="0.25">
      <c r="O63" s="45">
        <v>48</v>
      </c>
      <c r="P63" s="607" t="s">
        <v>359</v>
      </c>
      <c r="Q63" s="642">
        <f>VLOOKUP(P63,Apoio!C:E,2,0)</f>
        <v>240000</v>
      </c>
      <c r="R63" s="609">
        <v>240000</v>
      </c>
      <c r="S63" s="359">
        <v>5</v>
      </c>
      <c r="T63" s="52">
        <v>22</v>
      </c>
      <c r="U63" s="31"/>
      <c r="V63" s="9"/>
      <c r="W63" s="67"/>
      <c r="Y63" s="52">
        <v>22</v>
      </c>
      <c r="Z63" s="31"/>
      <c r="AA63" s="9"/>
      <c r="AB63" s="67"/>
      <c r="AD63" s="52">
        <v>22</v>
      </c>
      <c r="AE63" s="31">
        <v>40603</v>
      </c>
      <c r="AF63" s="9">
        <v>0</v>
      </c>
      <c r="AG63" s="67" t="e">
        <f>IF(AD63&lt;'DADOS DOS EMPREENDIMENTOS'!AF$11,0,IF(AD63='DADOS DOS EMPREENDIMENTOS'!AF$11,SUM(AF$41:AF63)*(1-'DADOS DOS EMPREENDIMENTOS'!#REF!-'DADOS DOS EMPREENDIMENTOS'!#REF!)+'DADOS DOS EMPREENDIMENTOS'!#REF!,IF(AD63='DADOS DOS EMPREENDIMENTOS'!#REF!,'DADOS DOS EMPREENDIMENTOS'!#REF!,AF63*(1-'DADOS DOS EMPREENDIMENTOS'!#REF!-'DADOS DOS EMPREENDIMENTOS'!#REF!))))</f>
        <v>#REF!</v>
      </c>
      <c r="AI63" s="52">
        <v>22</v>
      </c>
      <c r="AJ63" s="31">
        <v>40603</v>
      </c>
      <c r="AK63" s="9">
        <v>0</v>
      </c>
      <c r="AL63" s="67" t="e">
        <f>IF(AI63&lt;'DADOS DOS EMPREENDIMENTOS'!AK$11,0,IF(AI63='DADOS DOS EMPREENDIMENTOS'!AK$11,SUM(AK$41:AK63)*(1-'DADOS DOS EMPREENDIMENTOS'!#REF!-'DADOS DOS EMPREENDIMENTOS'!#REF!)+'DADOS DOS EMPREENDIMENTOS'!#REF!,IF(AI63='DADOS DOS EMPREENDIMENTOS'!#REF!,'DADOS DOS EMPREENDIMENTOS'!#REF!,AK63*(1-'DADOS DOS EMPREENDIMENTOS'!#REF!-'DADOS DOS EMPREENDIMENTOS'!#REF!))))</f>
        <v>#REF!</v>
      </c>
      <c r="AN63" s="52">
        <v>22</v>
      </c>
      <c r="AO63" s="31">
        <v>40603</v>
      </c>
      <c r="AP63" s="9">
        <v>0</v>
      </c>
      <c r="AQ63" s="67" t="e">
        <f>IF(AN63&lt;'DADOS DOS EMPREENDIMENTOS'!AP$11,0,IF(AN63='DADOS DOS EMPREENDIMENTOS'!AP$11,SUM(AP$41:AP63)*(1-'DADOS DOS EMPREENDIMENTOS'!#REF!-'DADOS DOS EMPREENDIMENTOS'!#REF!)+'DADOS DOS EMPREENDIMENTOS'!#REF!,IF(AN63='DADOS DOS EMPREENDIMENTOS'!#REF!,'DADOS DOS EMPREENDIMENTOS'!#REF!,AP63*(1-'DADOS DOS EMPREENDIMENTOS'!#REF!-'DADOS DOS EMPREENDIMENTOS'!#REF!))))</f>
        <v>#REF!</v>
      </c>
      <c r="AS63" s="52">
        <v>22</v>
      </c>
      <c r="AT63" s="31">
        <v>40603</v>
      </c>
      <c r="AU63" s="9">
        <v>0</v>
      </c>
      <c r="AV63" s="67" t="e">
        <f>IF(AS63&lt;'DADOS DOS EMPREENDIMENTOS'!AU$11,0,IF(AS63='DADOS DOS EMPREENDIMENTOS'!AU$11,SUM(AU$41:AU63)*(1-'DADOS DOS EMPREENDIMENTOS'!#REF!-'DADOS DOS EMPREENDIMENTOS'!#REF!)+'DADOS DOS EMPREENDIMENTOS'!#REF!,IF(AS63='DADOS DOS EMPREENDIMENTOS'!#REF!,'DADOS DOS EMPREENDIMENTOS'!#REF!,AU63*(1-'DADOS DOS EMPREENDIMENTOS'!#REF!-'DADOS DOS EMPREENDIMENTOS'!#REF!))))</f>
        <v>#REF!</v>
      </c>
      <c r="AX63" s="52">
        <v>22</v>
      </c>
      <c r="AY63" s="31">
        <v>40603</v>
      </c>
      <c r="AZ63" s="9">
        <v>0</v>
      </c>
      <c r="BA63" s="67" t="e">
        <f>IF(AX63&lt;'DADOS DOS EMPREENDIMENTOS'!AZ$11,0,IF(AX63='DADOS DOS EMPREENDIMENTOS'!AZ$11,SUM(AZ$41:AZ63)*(1-'DADOS DOS EMPREENDIMENTOS'!#REF!-'DADOS DOS EMPREENDIMENTOS'!#REF!)+'DADOS DOS EMPREENDIMENTOS'!#REF!,IF(AX63='DADOS DOS EMPREENDIMENTOS'!#REF!,'DADOS DOS EMPREENDIMENTOS'!#REF!,AZ63*(1-'DADOS DOS EMPREENDIMENTOS'!#REF!-'DADOS DOS EMPREENDIMENTOS'!#REF!))))</f>
        <v>#REF!</v>
      </c>
      <c r="BC63" s="52">
        <v>22</v>
      </c>
      <c r="BD63" s="31">
        <v>40603</v>
      </c>
      <c r="BE63" s="9">
        <v>0</v>
      </c>
      <c r="BF63" s="67" t="e">
        <f>IF(BC63&lt;'DADOS DOS EMPREENDIMENTOS'!BE$11,0,IF(BC63='DADOS DOS EMPREENDIMENTOS'!BE$11,SUM(BE$41:BE63)*(1-'DADOS DOS EMPREENDIMENTOS'!#REF!-'DADOS DOS EMPREENDIMENTOS'!#REF!)+'DADOS DOS EMPREENDIMENTOS'!#REF!,IF(BC63='DADOS DOS EMPREENDIMENTOS'!#REF!,'DADOS DOS EMPREENDIMENTOS'!#REF!,BE63*(1-'DADOS DOS EMPREENDIMENTOS'!#REF!-'DADOS DOS EMPREENDIMENTOS'!#REF!))))</f>
        <v>#REF!</v>
      </c>
      <c r="BH63" s="52">
        <v>22</v>
      </c>
      <c r="BI63" s="31">
        <v>40603</v>
      </c>
      <c r="BJ63" s="9">
        <v>0</v>
      </c>
      <c r="BK63" s="67" t="e">
        <f>IF(BH63&lt;'DADOS DOS EMPREENDIMENTOS'!BJ$11,0,IF(BH63='DADOS DOS EMPREENDIMENTOS'!BJ$11,SUM(BJ$41:BJ63)*(1-'DADOS DOS EMPREENDIMENTOS'!#REF!-'DADOS DOS EMPREENDIMENTOS'!#REF!)+'DADOS DOS EMPREENDIMENTOS'!#REF!,IF(BH63='DADOS DOS EMPREENDIMENTOS'!#REF!,'DADOS DOS EMPREENDIMENTOS'!#REF!,BJ63*(1-'DADOS DOS EMPREENDIMENTOS'!#REF!-'DADOS DOS EMPREENDIMENTOS'!#REF!))))</f>
        <v>#REF!</v>
      </c>
      <c r="BM63" s="52">
        <v>22</v>
      </c>
      <c r="BN63" s="31">
        <v>40603</v>
      </c>
      <c r="BO63" s="9">
        <v>0</v>
      </c>
      <c r="BP63" s="67" t="e">
        <f>IF(BM63&lt;'DADOS DOS EMPREENDIMENTOS'!BO$11,0,IF(BM63='DADOS DOS EMPREENDIMENTOS'!BO$11,SUM(BO$41:BO63)*(1-'DADOS DOS EMPREENDIMENTOS'!#REF!-'DADOS DOS EMPREENDIMENTOS'!#REF!)+'DADOS DOS EMPREENDIMENTOS'!#REF!,IF(BM63='DADOS DOS EMPREENDIMENTOS'!BO$12,'DADOS DOS EMPREENDIMENTOS'!#REF!,BO63*(1-'DADOS DOS EMPREENDIMENTOS'!#REF!-'DADOS DOS EMPREENDIMENTOS'!#REF!))))</f>
        <v>#REF!</v>
      </c>
      <c r="BR63" s="52">
        <v>22</v>
      </c>
      <c r="BS63" s="31">
        <v>40603</v>
      </c>
      <c r="BT63" s="9">
        <v>0</v>
      </c>
      <c r="BU63" s="67" t="e">
        <f>IF(BR63&lt;'DADOS DOS EMPREENDIMENTOS'!BT$11,0,IF(BR63='DADOS DOS EMPREENDIMENTOS'!BT$11,SUM(BT$41:BT63)*(1-'DADOS DOS EMPREENDIMENTOS'!#REF!-'DADOS DOS EMPREENDIMENTOS'!#REF!)+'DADOS DOS EMPREENDIMENTOS'!#REF!,IF(BR63='DADOS DOS EMPREENDIMENTOS'!BT$12,'DADOS DOS EMPREENDIMENTOS'!#REF!,BT63*(1-'DADOS DOS EMPREENDIMENTOS'!#REF!-'DADOS DOS EMPREENDIMENTOS'!#REF!))))</f>
        <v>#REF!</v>
      </c>
      <c r="BW63" s="52">
        <v>22</v>
      </c>
      <c r="BX63" s="31">
        <v>40603</v>
      </c>
      <c r="BY63" s="9">
        <v>0</v>
      </c>
      <c r="BZ63" s="67" t="e">
        <f>IF(BW63&lt;'DADOS DOS EMPREENDIMENTOS'!BY$11,0,IF(BW63='DADOS DOS EMPREENDIMENTOS'!BY$11,SUM(BY$41:BY63)*(1-'DADOS DOS EMPREENDIMENTOS'!#REF!-'DADOS DOS EMPREENDIMENTOS'!#REF!)+'DADOS DOS EMPREENDIMENTOS'!#REF!,IF(BW63='DADOS DOS EMPREENDIMENTOS'!BY$12,'DADOS DOS EMPREENDIMENTOS'!#REF!,BY63*(1-'DADOS DOS EMPREENDIMENTOS'!#REF!-'DADOS DOS EMPREENDIMENTOS'!#REF!))))</f>
        <v>#REF!</v>
      </c>
      <c r="CB63" s="52">
        <v>22</v>
      </c>
      <c r="CC63" s="31">
        <v>40603</v>
      </c>
      <c r="CD63" s="9">
        <v>0</v>
      </c>
      <c r="CE63" s="67" t="e">
        <f>IF(CB63&lt;'DADOS DOS EMPREENDIMENTOS'!CD$11,0,IF(CB63='DADOS DOS EMPREENDIMENTOS'!CD$11,SUM(CD$41:CD63)*(1-'DADOS DOS EMPREENDIMENTOS'!#REF!-'DADOS DOS EMPREENDIMENTOS'!#REF!)+'DADOS DOS EMPREENDIMENTOS'!#REF!,IF(CB63='DADOS DOS EMPREENDIMENTOS'!CD$12,'DADOS DOS EMPREENDIMENTOS'!#REF!,CD63*(1-'DADOS DOS EMPREENDIMENTOS'!#REF!-'DADOS DOS EMPREENDIMENTOS'!#REF!))))</f>
        <v>#REF!</v>
      </c>
      <c r="CG63" s="52"/>
      <c r="CH63" s="31"/>
      <c r="CI63" s="9"/>
      <c r="CJ63" s="67"/>
    </row>
    <row r="64" spans="15:88" ht="12.75" customHeight="1" thickBot="1" x14ac:dyDescent="0.25">
      <c r="O64" s="43">
        <v>49</v>
      </c>
      <c r="P64" s="607" t="s">
        <v>360</v>
      </c>
      <c r="Q64" s="642">
        <f>VLOOKUP(P64,Apoio!C:E,2,0)</f>
        <v>240000</v>
      </c>
      <c r="R64" s="609">
        <v>240000</v>
      </c>
      <c r="S64" s="359">
        <v>5</v>
      </c>
      <c r="T64" s="52">
        <v>23</v>
      </c>
      <c r="U64" s="31"/>
      <c r="V64" s="9"/>
      <c r="W64" s="67"/>
      <c r="Y64" s="52">
        <v>23</v>
      </c>
      <c r="Z64" s="31"/>
      <c r="AA64" s="9"/>
      <c r="AB64" s="67"/>
      <c r="AD64" s="52">
        <v>23</v>
      </c>
      <c r="AE64" s="31">
        <v>40634</v>
      </c>
      <c r="AF64" s="9">
        <v>0</v>
      </c>
      <c r="AG64" s="67" t="e">
        <f>IF(AD64&lt;'DADOS DOS EMPREENDIMENTOS'!AF$11,0,IF(AD64='DADOS DOS EMPREENDIMENTOS'!AF$11,SUM(AF$41:AF64)*(1-'DADOS DOS EMPREENDIMENTOS'!#REF!-'DADOS DOS EMPREENDIMENTOS'!#REF!)+'DADOS DOS EMPREENDIMENTOS'!#REF!,IF(AD64='DADOS DOS EMPREENDIMENTOS'!#REF!,'DADOS DOS EMPREENDIMENTOS'!#REF!,AF64*(1-'DADOS DOS EMPREENDIMENTOS'!#REF!-'DADOS DOS EMPREENDIMENTOS'!#REF!))))</f>
        <v>#REF!</v>
      </c>
      <c r="AI64" s="52">
        <v>23</v>
      </c>
      <c r="AJ64" s="31">
        <v>40634</v>
      </c>
      <c r="AK64" s="9">
        <v>0</v>
      </c>
      <c r="AL64" s="67" t="e">
        <f>IF(AI64&lt;'DADOS DOS EMPREENDIMENTOS'!AK$11,0,IF(AI64='DADOS DOS EMPREENDIMENTOS'!AK$11,SUM(AK$41:AK64)*(1-'DADOS DOS EMPREENDIMENTOS'!#REF!-'DADOS DOS EMPREENDIMENTOS'!#REF!)+'DADOS DOS EMPREENDIMENTOS'!#REF!,IF(AI64='DADOS DOS EMPREENDIMENTOS'!#REF!,'DADOS DOS EMPREENDIMENTOS'!#REF!,AK64*(1-'DADOS DOS EMPREENDIMENTOS'!#REF!-'DADOS DOS EMPREENDIMENTOS'!#REF!))))</f>
        <v>#REF!</v>
      </c>
      <c r="AN64" s="52">
        <v>23</v>
      </c>
      <c r="AO64" s="31">
        <v>40634</v>
      </c>
      <c r="AP64" s="9">
        <v>0</v>
      </c>
      <c r="AQ64" s="67" t="e">
        <f>IF(AN64&lt;'DADOS DOS EMPREENDIMENTOS'!AP$11,0,IF(AN64='DADOS DOS EMPREENDIMENTOS'!AP$11,SUM(AP$41:AP64)*(1-'DADOS DOS EMPREENDIMENTOS'!#REF!-'DADOS DOS EMPREENDIMENTOS'!#REF!)+'DADOS DOS EMPREENDIMENTOS'!#REF!,IF(AN64='DADOS DOS EMPREENDIMENTOS'!#REF!,'DADOS DOS EMPREENDIMENTOS'!#REF!,AP64*(1-'DADOS DOS EMPREENDIMENTOS'!#REF!-'DADOS DOS EMPREENDIMENTOS'!#REF!))))</f>
        <v>#REF!</v>
      </c>
      <c r="AS64" s="52">
        <v>23</v>
      </c>
      <c r="AT64" s="31">
        <v>40634</v>
      </c>
      <c r="AU64" s="9">
        <v>0</v>
      </c>
      <c r="AV64" s="67" t="e">
        <f>IF(AS64&lt;'DADOS DOS EMPREENDIMENTOS'!AU$11,0,IF(AS64='DADOS DOS EMPREENDIMENTOS'!AU$11,SUM(AU$41:AU64)*(1-'DADOS DOS EMPREENDIMENTOS'!#REF!-'DADOS DOS EMPREENDIMENTOS'!#REF!)+'DADOS DOS EMPREENDIMENTOS'!#REF!,IF(AS64='DADOS DOS EMPREENDIMENTOS'!#REF!,'DADOS DOS EMPREENDIMENTOS'!#REF!,AU64*(1-'DADOS DOS EMPREENDIMENTOS'!#REF!-'DADOS DOS EMPREENDIMENTOS'!#REF!))))</f>
        <v>#REF!</v>
      </c>
      <c r="AX64" s="52">
        <v>23</v>
      </c>
      <c r="AY64" s="31">
        <v>40634</v>
      </c>
      <c r="AZ64" s="9">
        <v>0</v>
      </c>
      <c r="BA64" s="67" t="e">
        <f>IF(AX64&lt;'DADOS DOS EMPREENDIMENTOS'!AZ$11,0,IF(AX64='DADOS DOS EMPREENDIMENTOS'!AZ$11,SUM(AZ$41:AZ64)*(1-'DADOS DOS EMPREENDIMENTOS'!#REF!-'DADOS DOS EMPREENDIMENTOS'!#REF!)+'DADOS DOS EMPREENDIMENTOS'!#REF!,IF(AX64='DADOS DOS EMPREENDIMENTOS'!#REF!,'DADOS DOS EMPREENDIMENTOS'!#REF!,AZ64*(1-'DADOS DOS EMPREENDIMENTOS'!#REF!-'DADOS DOS EMPREENDIMENTOS'!#REF!))))</f>
        <v>#REF!</v>
      </c>
      <c r="BC64" s="52">
        <v>23</v>
      </c>
      <c r="BD64" s="31">
        <v>40634</v>
      </c>
      <c r="BE64" s="9">
        <v>0</v>
      </c>
      <c r="BF64" s="67" t="e">
        <f>IF(BC64&lt;'DADOS DOS EMPREENDIMENTOS'!BE$11,0,IF(BC64='DADOS DOS EMPREENDIMENTOS'!BE$11,SUM(BE$41:BE64)*(1-'DADOS DOS EMPREENDIMENTOS'!#REF!-'DADOS DOS EMPREENDIMENTOS'!#REF!)+'DADOS DOS EMPREENDIMENTOS'!#REF!,IF(BC64='DADOS DOS EMPREENDIMENTOS'!#REF!,'DADOS DOS EMPREENDIMENTOS'!#REF!,BE64*(1-'DADOS DOS EMPREENDIMENTOS'!#REF!-'DADOS DOS EMPREENDIMENTOS'!#REF!))))</f>
        <v>#REF!</v>
      </c>
      <c r="BH64" s="52">
        <v>23</v>
      </c>
      <c r="BI64" s="31">
        <v>40634</v>
      </c>
      <c r="BJ64" s="9">
        <v>0</v>
      </c>
      <c r="BK64" s="67" t="e">
        <f>IF(BH64&lt;'DADOS DOS EMPREENDIMENTOS'!BJ$11,0,IF(BH64='DADOS DOS EMPREENDIMENTOS'!BJ$11,SUM(BJ$41:BJ64)*(1-'DADOS DOS EMPREENDIMENTOS'!#REF!-'DADOS DOS EMPREENDIMENTOS'!#REF!)+'DADOS DOS EMPREENDIMENTOS'!#REF!,IF(BH64='DADOS DOS EMPREENDIMENTOS'!#REF!,'DADOS DOS EMPREENDIMENTOS'!#REF!,BJ64*(1-'DADOS DOS EMPREENDIMENTOS'!#REF!-'DADOS DOS EMPREENDIMENTOS'!#REF!))))</f>
        <v>#REF!</v>
      </c>
      <c r="BM64" s="52">
        <v>23</v>
      </c>
      <c r="BN64" s="31">
        <v>40634</v>
      </c>
      <c r="BO64" s="9">
        <v>0</v>
      </c>
      <c r="BP64" s="67" t="e">
        <f>IF(BM64&lt;'DADOS DOS EMPREENDIMENTOS'!BO$11,0,IF(BM64='DADOS DOS EMPREENDIMENTOS'!BO$11,SUM(BO$41:BO64)*(1-'DADOS DOS EMPREENDIMENTOS'!#REF!-'DADOS DOS EMPREENDIMENTOS'!#REF!)+'DADOS DOS EMPREENDIMENTOS'!#REF!,IF(BM64='DADOS DOS EMPREENDIMENTOS'!BO$12,'DADOS DOS EMPREENDIMENTOS'!#REF!,BO64*(1-'DADOS DOS EMPREENDIMENTOS'!#REF!-'DADOS DOS EMPREENDIMENTOS'!#REF!))))</f>
        <v>#REF!</v>
      </c>
      <c r="BR64" s="52">
        <v>23</v>
      </c>
      <c r="BS64" s="31">
        <v>40634</v>
      </c>
      <c r="BT64" s="9">
        <v>0</v>
      </c>
      <c r="BU64" s="67" t="e">
        <f>IF(BR64&lt;'DADOS DOS EMPREENDIMENTOS'!BT$11,0,IF(BR64='DADOS DOS EMPREENDIMENTOS'!BT$11,SUM(BT$41:BT64)*(1-'DADOS DOS EMPREENDIMENTOS'!#REF!-'DADOS DOS EMPREENDIMENTOS'!#REF!)+'DADOS DOS EMPREENDIMENTOS'!#REF!,IF(BR64='DADOS DOS EMPREENDIMENTOS'!BT$12,'DADOS DOS EMPREENDIMENTOS'!#REF!,BT64*(1-'DADOS DOS EMPREENDIMENTOS'!#REF!-'DADOS DOS EMPREENDIMENTOS'!#REF!))))</f>
        <v>#REF!</v>
      </c>
      <c r="BW64" s="52">
        <v>23</v>
      </c>
      <c r="BX64" s="31">
        <v>40634</v>
      </c>
      <c r="BY64" s="9">
        <v>0</v>
      </c>
      <c r="BZ64" s="67" t="e">
        <f>IF(BW64&lt;'DADOS DOS EMPREENDIMENTOS'!BY$11,0,IF(BW64='DADOS DOS EMPREENDIMENTOS'!BY$11,SUM(BY$41:BY64)*(1-'DADOS DOS EMPREENDIMENTOS'!#REF!-'DADOS DOS EMPREENDIMENTOS'!#REF!)+'DADOS DOS EMPREENDIMENTOS'!#REF!,IF(BW64='DADOS DOS EMPREENDIMENTOS'!BY$12,'DADOS DOS EMPREENDIMENTOS'!#REF!,BY64*(1-'DADOS DOS EMPREENDIMENTOS'!#REF!-'DADOS DOS EMPREENDIMENTOS'!#REF!))))</f>
        <v>#REF!</v>
      </c>
      <c r="CB64" s="52">
        <v>23</v>
      </c>
      <c r="CC64" s="31">
        <v>40634</v>
      </c>
      <c r="CD64" s="9">
        <v>0</v>
      </c>
      <c r="CE64" s="67" t="e">
        <f>IF(CB64&lt;'DADOS DOS EMPREENDIMENTOS'!CD$11,0,IF(CB64='DADOS DOS EMPREENDIMENTOS'!CD$11,SUM(CD$41:CD64)*(1-'DADOS DOS EMPREENDIMENTOS'!#REF!-'DADOS DOS EMPREENDIMENTOS'!#REF!)+'DADOS DOS EMPREENDIMENTOS'!#REF!,IF(CB64='DADOS DOS EMPREENDIMENTOS'!CD$12,'DADOS DOS EMPREENDIMENTOS'!#REF!,CD64*(1-'DADOS DOS EMPREENDIMENTOS'!#REF!-'DADOS DOS EMPREENDIMENTOS'!#REF!))))</f>
        <v>#REF!</v>
      </c>
      <c r="CG64" s="52"/>
      <c r="CH64" s="31"/>
      <c r="CI64" s="9"/>
      <c r="CJ64" s="67"/>
    </row>
    <row r="65" spans="15:88" ht="12.75" customHeight="1" thickBot="1" x14ac:dyDescent="0.25">
      <c r="O65" s="45">
        <v>50</v>
      </c>
      <c r="P65" s="607" t="s">
        <v>361</v>
      </c>
      <c r="Q65" s="642">
        <f>VLOOKUP(P65,Apoio!C:E,2,0)</f>
        <v>240000</v>
      </c>
      <c r="R65" s="609">
        <v>240000</v>
      </c>
      <c r="S65" s="359">
        <v>5</v>
      </c>
      <c r="T65" s="52">
        <v>24</v>
      </c>
      <c r="U65" s="31"/>
      <c r="V65" s="9"/>
      <c r="W65" s="67"/>
      <c r="Y65" s="52">
        <v>24</v>
      </c>
      <c r="Z65" s="31"/>
      <c r="AA65" s="9"/>
      <c r="AB65" s="67"/>
      <c r="AD65" s="52">
        <v>24</v>
      </c>
      <c r="AE65" s="31">
        <v>40664</v>
      </c>
      <c r="AF65" s="9">
        <v>0</v>
      </c>
      <c r="AG65" s="67" t="e">
        <f>IF(AD65&lt;'DADOS DOS EMPREENDIMENTOS'!AF$11,0,IF(AD65='DADOS DOS EMPREENDIMENTOS'!AF$11,SUM(AF$41:AF65)*(1-'DADOS DOS EMPREENDIMENTOS'!#REF!-'DADOS DOS EMPREENDIMENTOS'!#REF!)+'DADOS DOS EMPREENDIMENTOS'!#REF!,IF(AD65='DADOS DOS EMPREENDIMENTOS'!#REF!,'DADOS DOS EMPREENDIMENTOS'!#REF!,AF65*(1-'DADOS DOS EMPREENDIMENTOS'!#REF!-'DADOS DOS EMPREENDIMENTOS'!#REF!))))</f>
        <v>#REF!</v>
      </c>
      <c r="AI65" s="52">
        <v>24</v>
      </c>
      <c r="AJ65" s="31">
        <v>40664</v>
      </c>
      <c r="AK65" s="9">
        <v>0</v>
      </c>
      <c r="AL65" s="67" t="e">
        <f>IF(AI65&lt;'DADOS DOS EMPREENDIMENTOS'!AK$11,0,IF(AI65='DADOS DOS EMPREENDIMENTOS'!AK$11,SUM(AK$41:AK65)*(1-'DADOS DOS EMPREENDIMENTOS'!#REF!-'DADOS DOS EMPREENDIMENTOS'!#REF!)+'DADOS DOS EMPREENDIMENTOS'!#REF!,IF(AI65='DADOS DOS EMPREENDIMENTOS'!#REF!,'DADOS DOS EMPREENDIMENTOS'!#REF!,AK65*(1-'DADOS DOS EMPREENDIMENTOS'!#REF!-'DADOS DOS EMPREENDIMENTOS'!#REF!))))</f>
        <v>#REF!</v>
      </c>
      <c r="AN65" s="52">
        <v>24</v>
      </c>
      <c r="AO65" s="31">
        <v>40664</v>
      </c>
      <c r="AP65" s="9">
        <v>0</v>
      </c>
      <c r="AQ65" s="67" t="e">
        <f>IF(AN65&lt;'DADOS DOS EMPREENDIMENTOS'!AP$11,0,IF(AN65='DADOS DOS EMPREENDIMENTOS'!AP$11,SUM(AP$41:AP65)*(1-'DADOS DOS EMPREENDIMENTOS'!#REF!-'DADOS DOS EMPREENDIMENTOS'!#REF!)+'DADOS DOS EMPREENDIMENTOS'!#REF!,IF(AN65='DADOS DOS EMPREENDIMENTOS'!#REF!,'DADOS DOS EMPREENDIMENTOS'!#REF!,AP65*(1-'DADOS DOS EMPREENDIMENTOS'!#REF!-'DADOS DOS EMPREENDIMENTOS'!#REF!))))</f>
        <v>#REF!</v>
      </c>
      <c r="AS65" s="52">
        <v>24</v>
      </c>
      <c r="AT65" s="31">
        <v>40664</v>
      </c>
      <c r="AU65" s="9">
        <v>0</v>
      </c>
      <c r="AV65" s="67" t="e">
        <f>IF(AS65&lt;'DADOS DOS EMPREENDIMENTOS'!AU$11,0,IF(AS65='DADOS DOS EMPREENDIMENTOS'!AU$11,SUM(AU$41:AU65)*(1-'DADOS DOS EMPREENDIMENTOS'!#REF!-'DADOS DOS EMPREENDIMENTOS'!#REF!)+'DADOS DOS EMPREENDIMENTOS'!#REF!,IF(AS65='DADOS DOS EMPREENDIMENTOS'!#REF!,'DADOS DOS EMPREENDIMENTOS'!#REF!,AU65*(1-'DADOS DOS EMPREENDIMENTOS'!#REF!-'DADOS DOS EMPREENDIMENTOS'!#REF!))))</f>
        <v>#REF!</v>
      </c>
      <c r="AX65" s="52">
        <v>24</v>
      </c>
      <c r="AY65" s="31">
        <v>40664</v>
      </c>
      <c r="AZ65" s="9">
        <v>0</v>
      </c>
      <c r="BA65" s="67" t="e">
        <f>IF(AX65&lt;'DADOS DOS EMPREENDIMENTOS'!AZ$11,0,IF(AX65='DADOS DOS EMPREENDIMENTOS'!AZ$11,SUM(AZ$41:AZ65)*(1-'DADOS DOS EMPREENDIMENTOS'!#REF!-'DADOS DOS EMPREENDIMENTOS'!#REF!)+'DADOS DOS EMPREENDIMENTOS'!#REF!,IF(AX65='DADOS DOS EMPREENDIMENTOS'!#REF!,'DADOS DOS EMPREENDIMENTOS'!#REF!,AZ65*(1-'DADOS DOS EMPREENDIMENTOS'!#REF!-'DADOS DOS EMPREENDIMENTOS'!#REF!))))</f>
        <v>#REF!</v>
      </c>
      <c r="BC65" s="52">
        <v>24</v>
      </c>
      <c r="BD65" s="31">
        <v>40664</v>
      </c>
      <c r="BE65" s="9">
        <v>0</v>
      </c>
      <c r="BF65" s="67" t="e">
        <f>IF(BC65&lt;'DADOS DOS EMPREENDIMENTOS'!BE$11,0,IF(BC65='DADOS DOS EMPREENDIMENTOS'!BE$11,SUM(BE$41:BE65)*(1-'DADOS DOS EMPREENDIMENTOS'!#REF!-'DADOS DOS EMPREENDIMENTOS'!#REF!)+'DADOS DOS EMPREENDIMENTOS'!#REF!,IF(BC65='DADOS DOS EMPREENDIMENTOS'!#REF!,'DADOS DOS EMPREENDIMENTOS'!#REF!,BE65*(1-'DADOS DOS EMPREENDIMENTOS'!#REF!-'DADOS DOS EMPREENDIMENTOS'!#REF!))))</f>
        <v>#REF!</v>
      </c>
      <c r="BH65" s="52">
        <v>24</v>
      </c>
      <c r="BI65" s="31">
        <v>40664</v>
      </c>
      <c r="BJ65" s="9">
        <v>0</v>
      </c>
      <c r="BK65" s="67" t="e">
        <f>IF(BH65&lt;'DADOS DOS EMPREENDIMENTOS'!BJ$11,0,IF(BH65='DADOS DOS EMPREENDIMENTOS'!BJ$11,SUM(BJ$41:BJ65)*(1-'DADOS DOS EMPREENDIMENTOS'!#REF!-'DADOS DOS EMPREENDIMENTOS'!#REF!)+'DADOS DOS EMPREENDIMENTOS'!#REF!,IF(BH65='DADOS DOS EMPREENDIMENTOS'!#REF!,'DADOS DOS EMPREENDIMENTOS'!#REF!,BJ65*(1-'DADOS DOS EMPREENDIMENTOS'!#REF!-'DADOS DOS EMPREENDIMENTOS'!#REF!))))</f>
        <v>#REF!</v>
      </c>
      <c r="BM65" s="52">
        <v>24</v>
      </c>
      <c r="BN65" s="31">
        <v>40664</v>
      </c>
      <c r="BO65" s="9">
        <v>0</v>
      </c>
      <c r="BP65" s="67" t="e">
        <f>IF(BM65&lt;'DADOS DOS EMPREENDIMENTOS'!BO$11,0,IF(BM65='DADOS DOS EMPREENDIMENTOS'!BO$11,SUM(BO$41:BO65)*(1-'DADOS DOS EMPREENDIMENTOS'!#REF!-'DADOS DOS EMPREENDIMENTOS'!#REF!)+'DADOS DOS EMPREENDIMENTOS'!#REF!,IF(BM65='DADOS DOS EMPREENDIMENTOS'!BO$12,'DADOS DOS EMPREENDIMENTOS'!#REF!,BO65*(1-'DADOS DOS EMPREENDIMENTOS'!#REF!-'DADOS DOS EMPREENDIMENTOS'!#REF!))))</f>
        <v>#REF!</v>
      </c>
      <c r="BR65" s="52">
        <v>24</v>
      </c>
      <c r="BS65" s="31">
        <v>40664</v>
      </c>
      <c r="BT65" s="9">
        <v>0</v>
      </c>
      <c r="BU65" s="67" t="e">
        <f>IF(BR65&lt;'DADOS DOS EMPREENDIMENTOS'!BT$11,0,IF(BR65='DADOS DOS EMPREENDIMENTOS'!BT$11,SUM(BT$41:BT65)*(1-'DADOS DOS EMPREENDIMENTOS'!#REF!-'DADOS DOS EMPREENDIMENTOS'!#REF!)+'DADOS DOS EMPREENDIMENTOS'!#REF!,IF(BR65='DADOS DOS EMPREENDIMENTOS'!BT$12,'DADOS DOS EMPREENDIMENTOS'!#REF!,BT65*(1-'DADOS DOS EMPREENDIMENTOS'!#REF!-'DADOS DOS EMPREENDIMENTOS'!#REF!))))</f>
        <v>#REF!</v>
      </c>
      <c r="BW65" s="52">
        <v>24</v>
      </c>
      <c r="BX65" s="31">
        <v>40664</v>
      </c>
      <c r="BY65" s="9">
        <v>0</v>
      </c>
      <c r="BZ65" s="67" t="e">
        <f>IF(BW65&lt;'DADOS DOS EMPREENDIMENTOS'!BY$11,0,IF(BW65='DADOS DOS EMPREENDIMENTOS'!BY$11,SUM(BY$41:BY65)*(1-'DADOS DOS EMPREENDIMENTOS'!#REF!-'DADOS DOS EMPREENDIMENTOS'!#REF!)+'DADOS DOS EMPREENDIMENTOS'!#REF!,IF(BW65='DADOS DOS EMPREENDIMENTOS'!BY$12,'DADOS DOS EMPREENDIMENTOS'!#REF!,BY65*(1-'DADOS DOS EMPREENDIMENTOS'!#REF!-'DADOS DOS EMPREENDIMENTOS'!#REF!))))</f>
        <v>#REF!</v>
      </c>
      <c r="CB65" s="52">
        <v>24</v>
      </c>
      <c r="CC65" s="31">
        <v>40664</v>
      </c>
      <c r="CD65" s="9">
        <v>0</v>
      </c>
      <c r="CE65" s="67" t="e">
        <f>IF(CB65&lt;'DADOS DOS EMPREENDIMENTOS'!CD$11,0,IF(CB65='DADOS DOS EMPREENDIMENTOS'!CD$11,SUM(CD$41:CD65)*(1-'DADOS DOS EMPREENDIMENTOS'!#REF!-'DADOS DOS EMPREENDIMENTOS'!#REF!)+'DADOS DOS EMPREENDIMENTOS'!#REF!,IF(CB65='DADOS DOS EMPREENDIMENTOS'!CD$12,'DADOS DOS EMPREENDIMENTOS'!#REF!,CD65*(1-'DADOS DOS EMPREENDIMENTOS'!#REF!-'DADOS DOS EMPREENDIMENTOS'!#REF!))))</f>
        <v>#REF!</v>
      </c>
      <c r="CG65" s="52"/>
      <c r="CH65" s="31"/>
      <c r="CI65" s="9"/>
      <c r="CJ65" s="67"/>
    </row>
    <row r="66" spans="15:88" ht="12.75" customHeight="1" thickBot="1" x14ac:dyDescent="0.25">
      <c r="O66" s="43">
        <v>51</v>
      </c>
      <c r="P66" s="607" t="s">
        <v>362</v>
      </c>
      <c r="Q66" s="642">
        <f>VLOOKUP(P66,Apoio!C:E,2,0)</f>
        <v>240000</v>
      </c>
      <c r="R66" s="609">
        <v>240000</v>
      </c>
      <c r="S66" s="359">
        <v>5</v>
      </c>
      <c r="T66" s="52">
        <v>25</v>
      </c>
      <c r="U66" s="31"/>
      <c r="V66" s="9"/>
      <c r="W66" s="67"/>
      <c r="Y66" s="52">
        <v>25</v>
      </c>
      <c r="Z66" s="31"/>
      <c r="AA66" s="9"/>
      <c r="AB66" s="67"/>
      <c r="AD66" s="52">
        <v>25</v>
      </c>
      <c r="AE66" s="31">
        <v>40695</v>
      </c>
      <c r="AF66" s="9">
        <v>0</v>
      </c>
      <c r="AG66" s="67" t="e">
        <f>IF(AD66&lt;'DADOS DOS EMPREENDIMENTOS'!AF$11,0,IF(AD66='DADOS DOS EMPREENDIMENTOS'!AF$11,SUM(AF$41:AF66)*(1-'DADOS DOS EMPREENDIMENTOS'!#REF!-'DADOS DOS EMPREENDIMENTOS'!#REF!)+'DADOS DOS EMPREENDIMENTOS'!#REF!,IF(AD66='DADOS DOS EMPREENDIMENTOS'!#REF!,'DADOS DOS EMPREENDIMENTOS'!#REF!,AF66*(1-'DADOS DOS EMPREENDIMENTOS'!#REF!-'DADOS DOS EMPREENDIMENTOS'!#REF!))))</f>
        <v>#REF!</v>
      </c>
      <c r="AI66" s="52">
        <v>25</v>
      </c>
      <c r="AJ66" s="31">
        <v>40695</v>
      </c>
      <c r="AK66" s="9">
        <v>0</v>
      </c>
      <c r="AL66" s="67" t="e">
        <f>IF(AI66&lt;'DADOS DOS EMPREENDIMENTOS'!AK$11,0,IF(AI66='DADOS DOS EMPREENDIMENTOS'!AK$11,SUM(AK$41:AK66)*(1-'DADOS DOS EMPREENDIMENTOS'!#REF!-'DADOS DOS EMPREENDIMENTOS'!#REF!)+'DADOS DOS EMPREENDIMENTOS'!#REF!,IF(AI66='DADOS DOS EMPREENDIMENTOS'!#REF!,'DADOS DOS EMPREENDIMENTOS'!#REF!,AK66*(1-'DADOS DOS EMPREENDIMENTOS'!#REF!-'DADOS DOS EMPREENDIMENTOS'!#REF!))))</f>
        <v>#REF!</v>
      </c>
      <c r="AN66" s="52">
        <v>25</v>
      </c>
      <c r="AO66" s="31">
        <v>40695</v>
      </c>
      <c r="AP66" s="9">
        <v>0</v>
      </c>
      <c r="AQ66" s="67" t="e">
        <f>IF(AN66&lt;'DADOS DOS EMPREENDIMENTOS'!AP$11,0,IF(AN66='DADOS DOS EMPREENDIMENTOS'!AP$11,SUM(AP$41:AP66)*(1-'DADOS DOS EMPREENDIMENTOS'!#REF!-'DADOS DOS EMPREENDIMENTOS'!#REF!)+'DADOS DOS EMPREENDIMENTOS'!#REF!,IF(AN66='DADOS DOS EMPREENDIMENTOS'!#REF!,'DADOS DOS EMPREENDIMENTOS'!#REF!,AP66*(1-'DADOS DOS EMPREENDIMENTOS'!#REF!-'DADOS DOS EMPREENDIMENTOS'!#REF!))))</f>
        <v>#REF!</v>
      </c>
      <c r="AS66" s="52">
        <v>25</v>
      </c>
      <c r="AT66" s="31">
        <v>40695</v>
      </c>
      <c r="AU66" s="9">
        <v>0</v>
      </c>
      <c r="AV66" s="67" t="e">
        <f>IF(AS66&lt;'DADOS DOS EMPREENDIMENTOS'!AU$11,0,IF(AS66='DADOS DOS EMPREENDIMENTOS'!AU$11,SUM(AU$41:AU66)*(1-'DADOS DOS EMPREENDIMENTOS'!#REF!-'DADOS DOS EMPREENDIMENTOS'!#REF!)+'DADOS DOS EMPREENDIMENTOS'!#REF!,IF(AS66='DADOS DOS EMPREENDIMENTOS'!#REF!,'DADOS DOS EMPREENDIMENTOS'!#REF!,AU66*(1-'DADOS DOS EMPREENDIMENTOS'!#REF!-'DADOS DOS EMPREENDIMENTOS'!#REF!))))</f>
        <v>#REF!</v>
      </c>
      <c r="AX66" s="52">
        <v>25</v>
      </c>
      <c r="AY66" s="31">
        <v>40695</v>
      </c>
      <c r="AZ66" s="9">
        <v>0</v>
      </c>
      <c r="BA66" s="67" t="e">
        <f>IF(AX66&lt;'DADOS DOS EMPREENDIMENTOS'!AZ$11,0,IF(AX66='DADOS DOS EMPREENDIMENTOS'!AZ$11,SUM(AZ$41:AZ66)*(1-'DADOS DOS EMPREENDIMENTOS'!#REF!-'DADOS DOS EMPREENDIMENTOS'!#REF!)+'DADOS DOS EMPREENDIMENTOS'!#REF!,IF(AX66='DADOS DOS EMPREENDIMENTOS'!#REF!,'DADOS DOS EMPREENDIMENTOS'!#REF!,AZ66*(1-'DADOS DOS EMPREENDIMENTOS'!#REF!-'DADOS DOS EMPREENDIMENTOS'!#REF!))))</f>
        <v>#REF!</v>
      </c>
      <c r="BC66" s="52">
        <v>25</v>
      </c>
      <c r="BD66" s="31">
        <v>40695</v>
      </c>
      <c r="BE66" s="9">
        <v>0</v>
      </c>
      <c r="BF66" s="67" t="e">
        <f>IF(BC66&lt;'DADOS DOS EMPREENDIMENTOS'!BE$11,0,IF(BC66='DADOS DOS EMPREENDIMENTOS'!BE$11,SUM(BE$41:BE66)*(1-'DADOS DOS EMPREENDIMENTOS'!#REF!-'DADOS DOS EMPREENDIMENTOS'!#REF!)+'DADOS DOS EMPREENDIMENTOS'!#REF!,IF(BC66='DADOS DOS EMPREENDIMENTOS'!#REF!,'DADOS DOS EMPREENDIMENTOS'!#REF!,BE66*(1-'DADOS DOS EMPREENDIMENTOS'!#REF!-'DADOS DOS EMPREENDIMENTOS'!#REF!))))</f>
        <v>#REF!</v>
      </c>
      <c r="BH66" s="52">
        <v>25</v>
      </c>
      <c r="BI66" s="31">
        <v>40695</v>
      </c>
      <c r="BJ66" s="9">
        <v>0</v>
      </c>
      <c r="BK66" s="67" t="e">
        <f>IF(BH66&lt;'DADOS DOS EMPREENDIMENTOS'!BJ$11,0,IF(BH66='DADOS DOS EMPREENDIMENTOS'!BJ$11,SUM(BJ$41:BJ66)*(1-'DADOS DOS EMPREENDIMENTOS'!#REF!-'DADOS DOS EMPREENDIMENTOS'!#REF!)+'DADOS DOS EMPREENDIMENTOS'!#REF!,IF(BH66='DADOS DOS EMPREENDIMENTOS'!#REF!,'DADOS DOS EMPREENDIMENTOS'!#REF!,BJ66*(1-'DADOS DOS EMPREENDIMENTOS'!#REF!-'DADOS DOS EMPREENDIMENTOS'!#REF!))))</f>
        <v>#REF!</v>
      </c>
      <c r="BM66" s="52">
        <v>25</v>
      </c>
      <c r="BN66" s="31">
        <v>40695</v>
      </c>
      <c r="BO66" s="9">
        <v>0</v>
      </c>
      <c r="BP66" s="67" t="e">
        <f>IF(BM66&lt;'DADOS DOS EMPREENDIMENTOS'!BO$11,0,IF(BM66='DADOS DOS EMPREENDIMENTOS'!BO$11,SUM(BO$41:BO66)*(1-'DADOS DOS EMPREENDIMENTOS'!#REF!-'DADOS DOS EMPREENDIMENTOS'!#REF!)+'DADOS DOS EMPREENDIMENTOS'!#REF!,IF(BM66='DADOS DOS EMPREENDIMENTOS'!BO$12,'DADOS DOS EMPREENDIMENTOS'!#REF!,BO66*(1-'DADOS DOS EMPREENDIMENTOS'!#REF!-'DADOS DOS EMPREENDIMENTOS'!#REF!))))</f>
        <v>#REF!</v>
      </c>
      <c r="BR66" s="52">
        <v>25</v>
      </c>
      <c r="BS66" s="31">
        <v>40695</v>
      </c>
      <c r="BT66" s="9">
        <v>0</v>
      </c>
      <c r="BU66" s="67" t="e">
        <f>IF(BR66&lt;'DADOS DOS EMPREENDIMENTOS'!BT$11,0,IF(BR66='DADOS DOS EMPREENDIMENTOS'!BT$11,SUM(BT$41:BT66)*(1-'DADOS DOS EMPREENDIMENTOS'!#REF!-'DADOS DOS EMPREENDIMENTOS'!#REF!)+'DADOS DOS EMPREENDIMENTOS'!#REF!,IF(BR66='DADOS DOS EMPREENDIMENTOS'!BT$12,'DADOS DOS EMPREENDIMENTOS'!#REF!,BT66*(1-'DADOS DOS EMPREENDIMENTOS'!#REF!-'DADOS DOS EMPREENDIMENTOS'!#REF!))))</f>
        <v>#REF!</v>
      </c>
      <c r="BW66" s="52">
        <v>25</v>
      </c>
      <c r="BX66" s="31">
        <v>40695</v>
      </c>
      <c r="BY66" s="9">
        <v>0</v>
      </c>
      <c r="BZ66" s="67" t="e">
        <f>IF(BW66&lt;'DADOS DOS EMPREENDIMENTOS'!BY$11,0,IF(BW66='DADOS DOS EMPREENDIMENTOS'!BY$11,SUM(BY$41:BY66)*(1-'DADOS DOS EMPREENDIMENTOS'!#REF!-'DADOS DOS EMPREENDIMENTOS'!#REF!)+'DADOS DOS EMPREENDIMENTOS'!#REF!,IF(BW66='DADOS DOS EMPREENDIMENTOS'!BY$12,'DADOS DOS EMPREENDIMENTOS'!#REF!,BY66*(1-'DADOS DOS EMPREENDIMENTOS'!#REF!-'DADOS DOS EMPREENDIMENTOS'!#REF!))))</f>
        <v>#REF!</v>
      </c>
      <c r="CB66" s="52">
        <v>25</v>
      </c>
      <c r="CC66" s="31">
        <v>40695</v>
      </c>
      <c r="CD66" s="9">
        <v>0</v>
      </c>
      <c r="CE66" s="67" t="e">
        <f>IF(CB66&lt;'DADOS DOS EMPREENDIMENTOS'!CD$11,0,IF(CB66='DADOS DOS EMPREENDIMENTOS'!CD$11,SUM(CD$41:CD66)*(1-'DADOS DOS EMPREENDIMENTOS'!#REF!-'DADOS DOS EMPREENDIMENTOS'!#REF!)+'DADOS DOS EMPREENDIMENTOS'!#REF!,IF(CB66='DADOS DOS EMPREENDIMENTOS'!CD$12,'DADOS DOS EMPREENDIMENTOS'!#REF!,CD66*(1-'DADOS DOS EMPREENDIMENTOS'!#REF!-'DADOS DOS EMPREENDIMENTOS'!#REF!))))</f>
        <v>#REF!</v>
      </c>
      <c r="CG66" s="52"/>
      <c r="CH66" s="31"/>
      <c r="CI66" s="9"/>
      <c r="CJ66" s="67"/>
    </row>
    <row r="67" spans="15:88" ht="12.75" customHeight="1" thickBot="1" x14ac:dyDescent="0.25">
      <c r="O67" s="45">
        <v>52</v>
      </c>
      <c r="P67" s="607" t="s">
        <v>363</v>
      </c>
      <c r="Q67" s="642">
        <f>VLOOKUP(P67,Apoio!C:E,2,0)</f>
        <v>240000</v>
      </c>
      <c r="R67" s="609">
        <v>240000</v>
      </c>
      <c r="S67" s="359">
        <v>5</v>
      </c>
      <c r="T67" s="52">
        <v>26</v>
      </c>
      <c r="U67" s="31"/>
      <c r="V67" s="9"/>
      <c r="W67" s="67"/>
      <c r="Y67" s="52">
        <v>26</v>
      </c>
      <c r="Z67" s="31"/>
      <c r="AA67" s="9"/>
      <c r="AB67" s="67"/>
      <c r="AD67" s="52">
        <v>26</v>
      </c>
      <c r="AE67" s="31">
        <v>40725</v>
      </c>
      <c r="AF67" s="9">
        <v>0</v>
      </c>
      <c r="AG67" s="67" t="e">
        <f>IF(AD67&lt;'DADOS DOS EMPREENDIMENTOS'!AF$11,0,IF(AD67='DADOS DOS EMPREENDIMENTOS'!AF$11,SUM(AF$41:AF67)*(1-'DADOS DOS EMPREENDIMENTOS'!#REF!-'DADOS DOS EMPREENDIMENTOS'!#REF!)+'DADOS DOS EMPREENDIMENTOS'!#REF!,IF(AD67='DADOS DOS EMPREENDIMENTOS'!#REF!,'DADOS DOS EMPREENDIMENTOS'!#REF!,AF67*(1-'DADOS DOS EMPREENDIMENTOS'!#REF!-'DADOS DOS EMPREENDIMENTOS'!#REF!))))</f>
        <v>#REF!</v>
      </c>
      <c r="AI67" s="52">
        <v>26</v>
      </c>
      <c r="AJ67" s="31">
        <v>40725</v>
      </c>
      <c r="AK67" s="9">
        <v>0</v>
      </c>
      <c r="AL67" s="67" t="e">
        <f>IF(AI67&lt;'DADOS DOS EMPREENDIMENTOS'!AK$11,0,IF(AI67='DADOS DOS EMPREENDIMENTOS'!AK$11,SUM(AK$41:AK67)*(1-'DADOS DOS EMPREENDIMENTOS'!#REF!-'DADOS DOS EMPREENDIMENTOS'!#REF!)+'DADOS DOS EMPREENDIMENTOS'!#REF!,IF(AI67='DADOS DOS EMPREENDIMENTOS'!#REF!,'DADOS DOS EMPREENDIMENTOS'!#REF!,AK67*(1-'DADOS DOS EMPREENDIMENTOS'!#REF!-'DADOS DOS EMPREENDIMENTOS'!#REF!))))</f>
        <v>#REF!</v>
      </c>
      <c r="AN67" s="52">
        <v>26</v>
      </c>
      <c r="AO67" s="31">
        <v>40725</v>
      </c>
      <c r="AP67" s="9">
        <v>0</v>
      </c>
      <c r="AQ67" s="67" t="e">
        <f>IF(AN67&lt;'DADOS DOS EMPREENDIMENTOS'!AP$11,0,IF(AN67='DADOS DOS EMPREENDIMENTOS'!AP$11,SUM(AP$41:AP67)*(1-'DADOS DOS EMPREENDIMENTOS'!#REF!-'DADOS DOS EMPREENDIMENTOS'!#REF!)+'DADOS DOS EMPREENDIMENTOS'!#REF!,IF(AN67='DADOS DOS EMPREENDIMENTOS'!#REF!,'DADOS DOS EMPREENDIMENTOS'!#REF!,AP67*(1-'DADOS DOS EMPREENDIMENTOS'!#REF!-'DADOS DOS EMPREENDIMENTOS'!#REF!))))</f>
        <v>#REF!</v>
      </c>
      <c r="AS67" s="52">
        <v>26</v>
      </c>
      <c r="AT67" s="31">
        <v>40725</v>
      </c>
      <c r="AU67" s="9">
        <v>0</v>
      </c>
      <c r="AV67" s="67" t="e">
        <f>IF(AS67&lt;'DADOS DOS EMPREENDIMENTOS'!AU$11,0,IF(AS67='DADOS DOS EMPREENDIMENTOS'!AU$11,SUM(AU$41:AU67)*(1-'DADOS DOS EMPREENDIMENTOS'!#REF!-'DADOS DOS EMPREENDIMENTOS'!#REF!)+'DADOS DOS EMPREENDIMENTOS'!#REF!,IF(AS67='DADOS DOS EMPREENDIMENTOS'!#REF!,'DADOS DOS EMPREENDIMENTOS'!#REF!,AU67*(1-'DADOS DOS EMPREENDIMENTOS'!#REF!-'DADOS DOS EMPREENDIMENTOS'!#REF!))))</f>
        <v>#REF!</v>
      </c>
      <c r="AX67" s="52">
        <v>26</v>
      </c>
      <c r="AY67" s="31">
        <v>40725</v>
      </c>
      <c r="AZ67" s="9">
        <v>0</v>
      </c>
      <c r="BA67" s="67" t="e">
        <f>IF(AX67&lt;'DADOS DOS EMPREENDIMENTOS'!AZ$11,0,IF(AX67='DADOS DOS EMPREENDIMENTOS'!AZ$11,SUM(AZ$41:AZ67)*(1-'DADOS DOS EMPREENDIMENTOS'!#REF!-'DADOS DOS EMPREENDIMENTOS'!#REF!)+'DADOS DOS EMPREENDIMENTOS'!#REF!,IF(AX67='DADOS DOS EMPREENDIMENTOS'!#REF!,'DADOS DOS EMPREENDIMENTOS'!#REF!,AZ67*(1-'DADOS DOS EMPREENDIMENTOS'!#REF!-'DADOS DOS EMPREENDIMENTOS'!#REF!))))</f>
        <v>#REF!</v>
      </c>
      <c r="BC67" s="52">
        <v>26</v>
      </c>
      <c r="BD67" s="31">
        <v>40725</v>
      </c>
      <c r="BE67" s="9">
        <v>0</v>
      </c>
      <c r="BF67" s="67" t="e">
        <f>IF(BC67&lt;'DADOS DOS EMPREENDIMENTOS'!BE$11,0,IF(BC67='DADOS DOS EMPREENDIMENTOS'!BE$11,SUM(BE$41:BE67)*(1-'DADOS DOS EMPREENDIMENTOS'!#REF!-'DADOS DOS EMPREENDIMENTOS'!#REF!)+'DADOS DOS EMPREENDIMENTOS'!#REF!,IF(BC67='DADOS DOS EMPREENDIMENTOS'!#REF!,'DADOS DOS EMPREENDIMENTOS'!#REF!,BE67*(1-'DADOS DOS EMPREENDIMENTOS'!#REF!-'DADOS DOS EMPREENDIMENTOS'!#REF!))))</f>
        <v>#REF!</v>
      </c>
      <c r="BH67" s="52">
        <v>26</v>
      </c>
      <c r="BI67" s="31">
        <v>40725</v>
      </c>
      <c r="BJ67" s="9">
        <v>0</v>
      </c>
      <c r="BK67" s="67" t="e">
        <f>IF(BH67&lt;'DADOS DOS EMPREENDIMENTOS'!BJ$11,0,IF(BH67='DADOS DOS EMPREENDIMENTOS'!BJ$11,SUM(BJ$41:BJ67)*(1-'DADOS DOS EMPREENDIMENTOS'!#REF!-'DADOS DOS EMPREENDIMENTOS'!#REF!)+'DADOS DOS EMPREENDIMENTOS'!#REF!,IF(BH67='DADOS DOS EMPREENDIMENTOS'!#REF!,'DADOS DOS EMPREENDIMENTOS'!#REF!,BJ67*(1-'DADOS DOS EMPREENDIMENTOS'!#REF!-'DADOS DOS EMPREENDIMENTOS'!#REF!))))</f>
        <v>#REF!</v>
      </c>
      <c r="BM67" s="52">
        <v>26</v>
      </c>
      <c r="BN67" s="31">
        <v>40725</v>
      </c>
      <c r="BO67" s="9">
        <v>0</v>
      </c>
      <c r="BP67" s="67" t="e">
        <f>IF(BM67&lt;'DADOS DOS EMPREENDIMENTOS'!BO$11,0,IF(BM67='DADOS DOS EMPREENDIMENTOS'!BO$11,SUM(BO$41:BO67)*(1-'DADOS DOS EMPREENDIMENTOS'!#REF!-'DADOS DOS EMPREENDIMENTOS'!#REF!)+'DADOS DOS EMPREENDIMENTOS'!#REF!,IF(BM67='DADOS DOS EMPREENDIMENTOS'!BO$12,'DADOS DOS EMPREENDIMENTOS'!#REF!,BO67*(1-'DADOS DOS EMPREENDIMENTOS'!#REF!-'DADOS DOS EMPREENDIMENTOS'!#REF!))))</f>
        <v>#REF!</v>
      </c>
      <c r="BR67" s="52">
        <v>26</v>
      </c>
      <c r="BS67" s="31">
        <v>40725</v>
      </c>
      <c r="BT67" s="9">
        <v>0</v>
      </c>
      <c r="BU67" s="67" t="e">
        <f>IF(BR67&lt;'DADOS DOS EMPREENDIMENTOS'!BT$11,0,IF(BR67='DADOS DOS EMPREENDIMENTOS'!BT$11,SUM(BT$41:BT67)*(1-'DADOS DOS EMPREENDIMENTOS'!#REF!-'DADOS DOS EMPREENDIMENTOS'!#REF!)+'DADOS DOS EMPREENDIMENTOS'!#REF!,IF(BR67='DADOS DOS EMPREENDIMENTOS'!BT$12,'DADOS DOS EMPREENDIMENTOS'!#REF!,BT67*(1-'DADOS DOS EMPREENDIMENTOS'!#REF!-'DADOS DOS EMPREENDIMENTOS'!#REF!))))</f>
        <v>#REF!</v>
      </c>
      <c r="BW67" s="52">
        <v>26</v>
      </c>
      <c r="BX67" s="31">
        <v>40725</v>
      </c>
      <c r="BY67" s="9">
        <v>0</v>
      </c>
      <c r="BZ67" s="67" t="e">
        <f>IF(BW67&lt;'DADOS DOS EMPREENDIMENTOS'!BY$11,0,IF(BW67='DADOS DOS EMPREENDIMENTOS'!BY$11,SUM(BY$41:BY67)*(1-'DADOS DOS EMPREENDIMENTOS'!#REF!-'DADOS DOS EMPREENDIMENTOS'!#REF!)+'DADOS DOS EMPREENDIMENTOS'!#REF!,IF(BW67='DADOS DOS EMPREENDIMENTOS'!BY$12,'DADOS DOS EMPREENDIMENTOS'!#REF!,BY67*(1-'DADOS DOS EMPREENDIMENTOS'!#REF!-'DADOS DOS EMPREENDIMENTOS'!#REF!))))</f>
        <v>#REF!</v>
      </c>
      <c r="CB67" s="52">
        <v>26</v>
      </c>
      <c r="CC67" s="31">
        <v>40725</v>
      </c>
      <c r="CD67" s="9">
        <v>0</v>
      </c>
      <c r="CE67" s="67" t="e">
        <f>IF(CB67&lt;'DADOS DOS EMPREENDIMENTOS'!CD$11,0,IF(CB67='DADOS DOS EMPREENDIMENTOS'!CD$11,SUM(CD$41:CD67)*(1-'DADOS DOS EMPREENDIMENTOS'!#REF!-'DADOS DOS EMPREENDIMENTOS'!#REF!)+'DADOS DOS EMPREENDIMENTOS'!#REF!,IF(CB67='DADOS DOS EMPREENDIMENTOS'!CD$12,'DADOS DOS EMPREENDIMENTOS'!#REF!,CD67*(1-'DADOS DOS EMPREENDIMENTOS'!#REF!-'DADOS DOS EMPREENDIMENTOS'!#REF!))))</f>
        <v>#REF!</v>
      </c>
      <c r="CG67" s="52"/>
      <c r="CH67" s="31"/>
      <c r="CI67" s="9"/>
      <c r="CJ67" s="67"/>
    </row>
    <row r="68" spans="15:88" ht="12.75" customHeight="1" thickBot="1" x14ac:dyDescent="0.25">
      <c r="O68" s="43">
        <v>53</v>
      </c>
      <c r="P68" s="607" t="s">
        <v>364</v>
      </c>
      <c r="Q68" s="642">
        <f>VLOOKUP(P68,Apoio!C:E,2,0)</f>
        <v>240000</v>
      </c>
      <c r="R68" s="609">
        <v>240000</v>
      </c>
      <c r="S68" s="359">
        <v>5</v>
      </c>
      <c r="T68" s="52">
        <v>27</v>
      </c>
      <c r="U68" s="31"/>
      <c r="V68" s="9"/>
      <c r="W68" s="67"/>
      <c r="Y68" s="52">
        <v>27</v>
      </c>
      <c r="Z68" s="31"/>
      <c r="AA68" s="9"/>
      <c r="AB68" s="67"/>
      <c r="AD68" s="52">
        <v>27</v>
      </c>
      <c r="AE68" s="31">
        <v>40756</v>
      </c>
      <c r="AF68" s="9">
        <v>0</v>
      </c>
      <c r="AG68" s="67" t="e">
        <f>IF(AD68&lt;'DADOS DOS EMPREENDIMENTOS'!AF$11,0,IF(AD68='DADOS DOS EMPREENDIMENTOS'!AF$11,SUM(AF$41:AF68)*(1-'DADOS DOS EMPREENDIMENTOS'!#REF!-'DADOS DOS EMPREENDIMENTOS'!#REF!)+'DADOS DOS EMPREENDIMENTOS'!#REF!,IF(AD68='DADOS DOS EMPREENDIMENTOS'!#REF!,'DADOS DOS EMPREENDIMENTOS'!#REF!,AF68*(1-'DADOS DOS EMPREENDIMENTOS'!#REF!-'DADOS DOS EMPREENDIMENTOS'!#REF!))))</f>
        <v>#REF!</v>
      </c>
      <c r="AI68" s="52">
        <v>27</v>
      </c>
      <c r="AJ68" s="31">
        <v>40756</v>
      </c>
      <c r="AK68" s="9">
        <v>0</v>
      </c>
      <c r="AL68" s="67" t="e">
        <f>IF(AI68&lt;'DADOS DOS EMPREENDIMENTOS'!AK$11,0,IF(AI68='DADOS DOS EMPREENDIMENTOS'!AK$11,SUM(AK$41:AK68)*(1-'DADOS DOS EMPREENDIMENTOS'!#REF!-'DADOS DOS EMPREENDIMENTOS'!#REF!)+'DADOS DOS EMPREENDIMENTOS'!#REF!,IF(AI68='DADOS DOS EMPREENDIMENTOS'!#REF!,'DADOS DOS EMPREENDIMENTOS'!#REF!,AK68*(1-'DADOS DOS EMPREENDIMENTOS'!#REF!-'DADOS DOS EMPREENDIMENTOS'!#REF!))))</f>
        <v>#REF!</v>
      </c>
      <c r="AN68" s="52">
        <v>27</v>
      </c>
      <c r="AO68" s="31">
        <v>40756</v>
      </c>
      <c r="AP68" s="9">
        <v>0</v>
      </c>
      <c r="AQ68" s="67" t="e">
        <f>IF(AN68&lt;'DADOS DOS EMPREENDIMENTOS'!AP$11,0,IF(AN68='DADOS DOS EMPREENDIMENTOS'!AP$11,SUM(AP$41:AP68)*(1-'DADOS DOS EMPREENDIMENTOS'!#REF!-'DADOS DOS EMPREENDIMENTOS'!#REF!)+'DADOS DOS EMPREENDIMENTOS'!#REF!,IF(AN68='DADOS DOS EMPREENDIMENTOS'!#REF!,'DADOS DOS EMPREENDIMENTOS'!#REF!,AP68*(1-'DADOS DOS EMPREENDIMENTOS'!#REF!-'DADOS DOS EMPREENDIMENTOS'!#REF!))))</f>
        <v>#REF!</v>
      </c>
      <c r="AS68" s="52">
        <v>27</v>
      </c>
      <c r="AT68" s="31">
        <v>40756</v>
      </c>
      <c r="AU68" s="9">
        <v>0</v>
      </c>
      <c r="AV68" s="67" t="e">
        <f>IF(AS68&lt;'DADOS DOS EMPREENDIMENTOS'!AU$11,0,IF(AS68='DADOS DOS EMPREENDIMENTOS'!AU$11,SUM(AU$41:AU68)*(1-'DADOS DOS EMPREENDIMENTOS'!#REF!-'DADOS DOS EMPREENDIMENTOS'!#REF!)+'DADOS DOS EMPREENDIMENTOS'!#REF!,IF(AS68='DADOS DOS EMPREENDIMENTOS'!#REF!,'DADOS DOS EMPREENDIMENTOS'!#REF!,AU68*(1-'DADOS DOS EMPREENDIMENTOS'!#REF!-'DADOS DOS EMPREENDIMENTOS'!#REF!))))</f>
        <v>#REF!</v>
      </c>
      <c r="AX68" s="52">
        <v>27</v>
      </c>
      <c r="AY68" s="31">
        <v>40756</v>
      </c>
      <c r="AZ68" s="9">
        <v>0</v>
      </c>
      <c r="BA68" s="67" t="e">
        <f>IF(AX68&lt;'DADOS DOS EMPREENDIMENTOS'!AZ$11,0,IF(AX68='DADOS DOS EMPREENDIMENTOS'!AZ$11,SUM(AZ$41:AZ68)*(1-'DADOS DOS EMPREENDIMENTOS'!#REF!-'DADOS DOS EMPREENDIMENTOS'!#REF!)+'DADOS DOS EMPREENDIMENTOS'!#REF!,IF(AX68='DADOS DOS EMPREENDIMENTOS'!#REF!,'DADOS DOS EMPREENDIMENTOS'!#REF!,AZ68*(1-'DADOS DOS EMPREENDIMENTOS'!#REF!-'DADOS DOS EMPREENDIMENTOS'!#REF!))))</f>
        <v>#REF!</v>
      </c>
      <c r="BC68" s="52">
        <v>27</v>
      </c>
      <c r="BD68" s="31">
        <v>40756</v>
      </c>
      <c r="BE68" s="9">
        <v>0</v>
      </c>
      <c r="BF68" s="67" t="e">
        <f>IF(BC68&lt;'DADOS DOS EMPREENDIMENTOS'!BE$11,0,IF(BC68='DADOS DOS EMPREENDIMENTOS'!BE$11,SUM(BE$41:BE68)*(1-'DADOS DOS EMPREENDIMENTOS'!#REF!-'DADOS DOS EMPREENDIMENTOS'!#REF!)+'DADOS DOS EMPREENDIMENTOS'!#REF!,IF(BC68='DADOS DOS EMPREENDIMENTOS'!#REF!,'DADOS DOS EMPREENDIMENTOS'!#REF!,BE68*(1-'DADOS DOS EMPREENDIMENTOS'!#REF!-'DADOS DOS EMPREENDIMENTOS'!#REF!))))</f>
        <v>#REF!</v>
      </c>
      <c r="BH68" s="52">
        <v>27</v>
      </c>
      <c r="BI68" s="31">
        <v>40756</v>
      </c>
      <c r="BJ68" s="9">
        <v>0</v>
      </c>
      <c r="BK68" s="67" t="e">
        <f>IF(BH68&lt;'DADOS DOS EMPREENDIMENTOS'!BJ$11,0,IF(BH68='DADOS DOS EMPREENDIMENTOS'!BJ$11,SUM(BJ$41:BJ68)*(1-'DADOS DOS EMPREENDIMENTOS'!#REF!-'DADOS DOS EMPREENDIMENTOS'!#REF!)+'DADOS DOS EMPREENDIMENTOS'!#REF!,IF(BH68='DADOS DOS EMPREENDIMENTOS'!#REF!,'DADOS DOS EMPREENDIMENTOS'!#REF!,BJ68*(1-'DADOS DOS EMPREENDIMENTOS'!#REF!-'DADOS DOS EMPREENDIMENTOS'!#REF!))))</f>
        <v>#REF!</v>
      </c>
      <c r="BM68" s="52">
        <v>27</v>
      </c>
      <c r="BN68" s="31">
        <v>40756</v>
      </c>
      <c r="BO68" s="9">
        <v>0</v>
      </c>
      <c r="BP68" s="67" t="e">
        <f>IF(BM68&lt;'DADOS DOS EMPREENDIMENTOS'!BO$11,0,IF(BM68='DADOS DOS EMPREENDIMENTOS'!BO$11,SUM(BO$41:BO68)*(1-'DADOS DOS EMPREENDIMENTOS'!#REF!-'DADOS DOS EMPREENDIMENTOS'!#REF!)+'DADOS DOS EMPREENDIMENTOS'!#REF!,IF(BM68='DADOS DOS EMPREENDIMENTOS'!BO$12,'DADOS DOS EMPREENDIMENTOS'!#REF!,BO68*(1-'DADOS DOS EMPREENDIMENTOS'!#REF!-'DADOS DOS EMPREENDIMENTOS'!#REF!))))</f>
        <v>#REF!</v>
      </c>
      <c r="BR68" s="52">
        <v>27</v>
      </c>
      <c r="BS68" s="31">
        <v>40756</v>
      </c>
      <c r="BT68" s="9">
        <v>0</v>
      </c>
      <c r="BU68" s="67" t="e">
        <f>IF(BR68&lt;'DADOS DOS EMPREENDIMENTOS'!BT$11,0,IF(BR68='DADOS DOS EMPREENDIMENTOS'!BT$11,SUM(BT$41:BT68)*(1-'DADOS DOS EMPREENDIMENTOS'!#REF!-'DADOS DOS EMPREENDIMENTOS'!#REF!)+'DADOS DOS EMPREENDIMENTOS'!#REF!,IF(BR68='DADOS DOS EMPREENDIMENTOS'!BT$12,'DADOS DOS EMPREENDIMENTOS'!#REF!,BT68*(1-'DADOS DOS EMPREENDIMENTOS'!#REF!-'DADOS DOS EMPREENDIMENTOS'!#REF!))))</f>
        <v>#REF!</v>
      </c>
      <c r="BW68" s="52">
        <v>27</v>
      </c>
      <c r="BX68" s="31">
        <v>40756</v>
      </c>
      <c r="BY68" s="9">
        <v>0</v>
      </c>
      <c r="BZ68" s="67" t="e">
        <f>IF(BW68&lt;'DADOS DOS EMPREENDIMENTOS'!BY$11,0,IF(BW68='DADOS DOS EMPREENDIMENTOS'!BY$11,SUM(BY$41:BY68)*(1-'DADOS DOS EMPREENDIMENTOS'!#REF!-'DADOS DOS EMPREENDIMENTOS'!#REF!)+'DADOS DOS EMPREENDIMENTOS'!#REF!,IF(BW68='DADOS DOS EMPREENDIMENTOS'!BY$12,'DADOS DOS EMPREENDIMENTOS'!#REF!,BY68*(1-'DADOS DOS EMPREENDIMENTOS'!#REF!-'DADOS DOS EMPREENDIMENTOS'!#REF!))))</f>
        <v>#REF!</v>
      </c>
      <c r="CB68" s="52">
        <v>27</v>
      </c>
      <c r="CC68" s="31">
        <v>40756</v>
      </c>
      <c r="CD68" s="9">
        <v>0</v>
      </c>
      <c r="CE68" s="67" t="e">
        <f>IF(CB68&lt;'DADOS DOS EMPREENDIMENTOS'!CD$11,0,IF(CB68='DADOS DOS EMPREENDIMENTOS'!CD$11,SUM(CD$41:CD68)*(1-'DADOS DOS EMPREENDIMENTOS'!#REF!-'DADOS DOS EMPREENDIMENTOS'!#REF!)+'DADOS DOS EMPREENDIMENTOS'!#REF!,IF(CB68='DADOS DOS EMPREENDIMENTOS'!CD$12,'DADOS DOS EMPREENDIMENTOS'!#REF!,CD68*(1-'DADOS DOS EMPREENDIMENTOS'!#REF!-'DADOS DOS EMPREENDIMENTOS'!#REF!))))</f>
        <v>#REF!</v>
      </c>
      <c r="CG68" s="52"/>
      <c r="CH68" s="31"/>
      <c r="CI68" s="9"/>
      <c r="CJ68" s="67"/>
    </row>
    <row r="69" spans="15:88" ht="12.75" customHeight="1" thickBot="1" x14ac:dyDescent="0.25">
      <c r="O69" s="45">
        <v>54</v>
      </c>
      <c r="P69" s="607" t="s">
        <v>365</v>
      </c>
      <c r="Q69" s="642">
        <f>VLOOKUP(P69,Apoio!C:E,2,0)</f>
        <v>240000</v>
      </c>
      <c r="R69" s="609">
        <v>240000</v>
      </c>
      <c r="S69" s="359">
        <v>5</v>
      </c>
      <c r="T69" s="52">
        <v>28</v>
      </c>
      <c r="U69" s="31"/>
      <c r="V69" s="9"/>
      <c r="W69" s="67"/>
      <c r="Y69" s="52">
        <v>28</v>
      </c>
      <c r="Z69" s="31"/>
      <c r="AA69" s="9"/>
      <c r="AB69" s="67"/>
      <c r="AD69" s="52">
        <v>28</v>
      </c>
      <c r="AE69" s="31">
        <v>40787</v>
      </c>
      <c r="AF69" s="9">
        <v>0</v>
      </c>
      <c r="AG69" s="67" t="e">
        <f>IF(AD69&lt;'DADOS DOS EMPREENDIMENTOS'!AF$11,0,IF(AD69='DADOS DOS EMPREENDIMENTOS'!AF$11,SUM(AF$41:AF69)*(1-'DADOS DOS EMPREENDIMENTOS'!#REF!-'DADOS DOS EMPREENDIMENTOS'!#REF!)+'DADOS DOS EMPREENDIMENTOS'!#REF!,IF(AD69='DADOS DOS EMPREENDIMENTOS'!#REF!,'DADOS DOS EMPREENDIMENTOS'!#REF!,AF69*(1-'DADOS DOS EMPREENDIMENTOS'!#REF!-'DADOS DOS EMPREENDIMENTOS'!#REF!))))</f>
        <v>#REF!</v>
      </c>
      <c r="AI69" s="52">
        <v>28</v>
      </c>
      <c r="AJ69" s="31">
        <v>40787</v>
      </c>
      <c r="AK69" s="9">
        <v>0</v>
      </c>
      <c r="AL69" s="67" t="e">
        <f>IF(AI69&lt;'DADOS DOS EMPREENDIMENTOS'!AK$11,0,IF(AI69='DADOS DOS EMPREENDIMENTOS'!AK$11,SUM(AK$41:AK69)*(1-'DADOS DOS EMPREENDIMENTOS'!#REF!-'DADOS DOS EMPREENDIMENTOS'!#REF!)+'DADOS DOS EMPREENDIMENTOS'!#REF!,IF(AI69='DADOS DOS EMPREENDIMENTOS'!#REF!,'DADOS DOS EMPREENDIMENTOS'!#REF!,AK69*(1-'DADOS DOS EMPREENDIMENTOS'!#REF!-'DADOS DOS EMPREENDIMENTOS'!#REF!))))</f>
        <v>#REF!</v>
      </c>
      <c r="AN69" s="52">
        <v>28</v>
      </c>
      <c r="AO69" s="31">
        <v>40787</v>
      </c>
      <c r="AP69" s="9">
        <v>0</v>
      </c>
      <c r="AQ69" s="67" t="e">
        <f>IF(AN69&lt;'DADOS DOS EMPREENDIMENTOS'!AP$11,0,IF(AN69='DADOS DOS EMPREENDIMENTOS'!AP$11,SUM(AP$41:AP69)*(1-'DADOS DOS EMPREENDIMENTOS'!#REF!-'DADOS DOS EMPREENDIMENTOS'!#REF!)+'DADOS DOS EMPREENDIMENTOS'!#REF!,IF(AN69='DADOS DOS EMPREENDIMENTOS'!#REF!,'DADOS DOS EMPREENDIMENTOS'!#REF!,AP69*(1-'DADOS DOS EMPREENDIMENTOS'!#REF!-'DADOS DOS EMPREENDIMENTOS'!#REF!))))</f>
        <v>#REF!</v>
      </c>
      <c r="AS69" s="52">
        <v>28</v>
      </c>
      <c r="AT69" s="31">
        <v>40787</v>
      </c>
      <c r="AU69" s="9">
        <v>0</v>
      </c>
      <c r="AV69" s="67" t="e">
        <f>IF(AS69&lt;'DADOS DOS EMPREENDIMENTOS'!AU$11,0,IF(AS69='DADOS DOS EMPREENDIMENTOS'!AU$11,SUM(AU$41:AU69)*(1-'DADOS DOS EMPREENDIMENTOS'!#REF!-'DADOS DOS EMPREENDIMENTOS'!#REF!)+'DADOS DOS EMPREENDIMENTOS'!#REF!,IF(AS69='DADOS DOS EMPREENDIMENTOS'!#REF!,'DADOS DOS EMPREENDIMENTOS'!#REF!,AU69*(1-'DADOS DOS EMPREENDIMENTOS'!#REF!-'DADOS DOS EMPREENDIMENTOS'!#REF!))))</f>
        <v>#REF!</v>
      </c>
      <c r="AX69" s="52">
        <v>28</v>
      </c>
      <c r="AY69" s="31">
        <v>40787</v>
      </c>
      <c r="AZ69" s="9">
        <v>0</v>
      </c>
      <c r="BA69" s="67" t="e">
        <f>IF(AX69&lt;'DADOS DOS EMPREENDIMENTOS'!AZ$11,0,IF(AX69='DADOS DOS EMPREENDIMENTOS'!AZ$11,SUM(AZ$41:AZ69)*(1-'DADOS DOS EMPREENDIMENTOS'!#REF!-'DADOS DOS EMPREENDIMENTOS'!#REF!)+'DADOS DOS EMPREENDIMENTOS'!#REF!,IF(AX69='DADOS DOS EMPREENDIMENTOS'!#REF!,'DADOS DOS EMPREENDIMENTOS'!#REF!,AZ69*(1-'DADOS DOS EMPREENDIMENTOS'!#REF!-'DADOS DOS EMPREENDIMENTOS'!#REF!))))</f>
        <v>#REF!</v>
      </c>
      <c r="BC69" s="52">
        <v>28</v>
      </c>
      <c r="BD69" s="31">
        <v>40787</v>
      </c>
      <c r="BE69" s="9">
        <v>0</v>
      </c>
      <c r="BF69" s="67" t="e">
        <f>IF(BC69&lt;'DADOS DOS EMPREENDIMENTOS'!BE$11,0,IF(BC69='DADOS DOS EMPREENDIMENTOS'!BE$11,SUM(BE$41:BE69)*(1-'DADOS DOS EMPREENDIMENTOS'!#REF!-'DADOS DOS EMPREENDIMENTOS'!#REF!)+'DADOS DOS EMPREENDIMENTOS'!#REF!,IF(BC69='DADOS DOS EMPREENDIMENTOS'!#REF!,'DADOS DOS EMPREENDIMENTOS'!#REF!,BE69*(1-'DADOS DOS EMPREENDIMENTOS'!#REF!-'DADOS DOS EMPREENDIMENTOS'!#REF!))))</f>
        <v>#REF!</v>
      </c>
      <c r="BH69" s="52">
        <v>28</v>
      </c>
      <c r="BI69" s="31">
        <v>40787</v>
      </c>
      <c r="BJ69" s="9">
        <v>0</v>
      </c>
      <c r="BK69" s="67" t="e">
        <f>IF(BH69&lt;'DADOS DOS EMPREENDIMENTOS'!BJ$11,0,IF(BH69='DADOS DOS EMPREENDIMENTOS'!BJ$11,SUM(BJ$41:BJ69)*(1-'DADOS DOS EMPREENDIMENTOS'!#REF!-'DADOS DOS EMPREENDIMENTOS'!#REF!)+'DADOS DOS EMPREENDIMENTOS'!#REF!,IF(BH69='DADOS DOS EMPREENDIMENTOS'!#REF!,'DADOS DOS EMPREENDIMENTOS'!#REF!,BJ69*(1-'DADOS DOS EMPREENDIMENTOS'!#REF!-'DADOS DOS EMPREENDIMENTOS'!#REF!))))</f>
        <v>#REF!</v>
      </c>
      <c r="BM69" s="52">
        <v>28</v>
      </c>
      <c r="BN69" s="31">
        <v>40787</v>
      </c>
      <c r="BO69" s="9">
        <v>0</v>
      </c>
      <c r="BP69" s="67" t="e">
        <f>IF(BM69&lt;'DADOS DOS EMPREENDIMENTOS'!BO$11,0,IF(BM69='DADOS DOS EMPREENDIMENTOS'!BO$11,SUM(BO$41:BO69)*(1-'DADOS DOS EMPREENDIMENTOS'!#REF!-'DADOS DOS EMPREENDIMENTOS'!#REF!)+'DADOS DOS EMPREENDIMENTOS'!#REF!,IF(BM69='DADOS DOS EMPREENDIMENTOS'!BO$12,'DADOS DOS EMPREENDIMENTOS'!#REF!,BO69*(1-'DADOS DOS EMPREENDIMENTOS'!#REF!-'DADOS DOS EMPREENDIMENTOS'!#REF!))))</f>
        <v>#REF!</v>
      </c>
      <c r="BR69" s="52">
        <v>28</v>
      </c>
      <c r="BS69" s="31">
        <v>40787</v>
      </c>
      <c r="BT69" s="9">
        <v>0</v>
      </c>
      <c r="BU69" s="67" t="e">
        <f>IF(BR69&lt;'DADOS DOS EMPREENDIMENTOS'!BT$11,0,IF(BR69='DADOS DOS EMPREENDIMENTOS'!BT$11,SUM(BT$41:BT69)*(1-'DADOS DOS EMPREENDIMENTOS'!#REF!-'DADOS DOS EMPREENDIMENTOS'!#REF!)+'DADOS DOS EMPREENDIMENTOS'!#REF!,IF(BR69='DADOS DOS EMPREENDIMENTOS'!BT$12,'DADOS DOS EMPREENDIMENTOS'!#REF!,BT69*(1-'DADOS DOS EMPREENDIMENTOS'!#REF!-'DADOS DOS EMPREENDIMENTOS'!#REF!))))</f>
        <v>#REF!</v>
      </c>
      <c r="BW69" s="52">
        <v>28</v>
      </c>
      <c r="BX69" s="31">
        <v>40787</v>
      </c>
      <c r="BY69" s="9">
        <v>0</v>
      </c>
      <c r="BZ69" s="67" t="e">
        <f>IF(BW69&lt;'DADOS DOS EMPREENDIMENTOS'!BY$11,0,IF(BW69='DADOS DOS EMPREENDIMENTOS'!BY$11,SUM(BY$41:BY69)*(1-'DADOS DOS EMPREENDIMENTOS'!#REF!-'DADOS DOS EMPREENDIMENTOS'!#REF!)+'DADOS DOS EMPREENDIMENTOS'!#REF!,IF(BW69='DADOS DOS EMPREENDIMENTOS'!BY$12,'DADOS DOS EMPREENDIMENTOS'!#REF!,BY69*(1-'DADOS DOS EMPREENDIMENTOS'!#REF!-'DADOS DOS EMPREENDIMENTOS'!#REF!))))</f>
        <v>#REF!</v>
      </c>
      <c r="CB69" s="52">
        <v>28</v>
      </c>
      <c r="CC69" s="31">
        <v>40787</v>
      </c>
      <c r="CD69" s="9">
        <v>0</v>
      </c>
      <c r="CE69" s="67" t="e">
        <f>IF(CB69&lt;'DADOS DOS EMPREENDIMENTOS'!CD$11,0,IF(CB69='DADOS DOS EMPREENDIMENTOS'!CD$11,SUM(CD$41:CD69)*(1-'DADOS DOS EMPREENDIMENTOS'!#REF!-'DADOS DOS EMPREENDIMENTOS'!#REF!)+'DADOS DOS EMPREENDIMENTOS'!#REF!,IF(CB69='DADOS DOS EMPREENDIMENTOS'!CD$12,'DADOS DOS EMPREENDIMENTOS'!#REF!,CD69*(1-'DADOS DOS EMPREENDIMENTOS'!#REF!-'DADOS DOS EMPREENDIMENTOS'!#REF!))))</f>
        <v>#REF!</v>
      </c>
      <c r="CG69" s="52"/>
      <c r="CH69" s="31"/>
      <c r="CI69" s="9"/>
      <c r="CJ69" s="67"/>
    </row>
    <row r="70" spans="15:88" ht="12.75" customHeight="1" thickBot="1" x14ac:dyDescent="0.25">
      <c r="O70" s="43">
        <v>55</v>
      </c>
      <c r="P70" s="607" t="s">
        <v>366</v>
      </c>
      <c r="Q70" s="642">
        <f>VLOOKUP(P70,Apoio!C:E,2,0)</f>
        <v>240000</v>
      </c>
      <c r="R70" s="609">
        <v>240000</v>
      </c>
      <c r="S70" s="359">
        <v>5</v>
      </c>
      <c r="T70" s="52">
        <v>29</v>
      </c>
      <c r="U70" s="31"/>
      <c r="V70" s="9"/>
      <c r="W70" s="67"/>
      <c r="Y70" s="52">
        <v>29</v>
      </c>
      <c r="Z70" s="31"/>
      <c r="AA70" s="9"/>
      <c r="AB70" s="67"/>
      <c r="AD70" s="52">
        <v>29</v>
      </c>
      <c r="AE70" s="31">
        <v>40817</v>
      </c>
      <c r="AF70" s="9">
        <v>0</v>
      </c>
      <c r="AG70" s="67" t="e">
        <f>IF(AD70&lt;'DADOS DOS EMPREENDIMENTOS'!AF$11,0,IF(AD70='DADOS DOS EMPREENDIMENTOS'!AF$11,SUM(AF$41:AF70)*(1-'DADOS DOS EMPREENDIMENTOS'!#REF!-'DADOS DOS EMPREENDIMENTOS'!#REF!)+'DADOS DOS EMPREENDIMENTOS'!#REF!,IF(AD70='DADOS DOS EMPREENDIMENTOS'!#REF!,'DADOS DOS EMPREENDIMENTOS'!#REF!,AF70*(1-'DADOS DOS EMPREENDIMENTOS'!#REF!-'DADOS DOS EMPREENDIMENTOS'!#REF!))))</f>
        <v>#REF!</v>
      </c>
      <c r="AI70" s="52">
        <v>29</v>
      </c>
      <c r="AJ70" s="31">
        <v>40817</v>
      </c>
      <c r="AK70" s="9">
        <v>0</v>
      </c>
      <c r="AL70" s="67" t="e">
        <f>IF(AI70&lt;'DADOS DOS EMPREENDIMENTOS'!AK$11,0,IF(AI70='DADOS DOS EMPREENDIMENTOS'!AK$11,SUM(AK$41:AK70)*(1-'DADOS DOS EMPREENDIMENTOS'!#REF!-'DADOS DOS EMPREENDIMENTOS'!#REF!)+'DADOS DOS EMPREENDIMENTOS'!#REF!,IF(AI70='DADOS DOS EMPREENDIMENTOS'!#REF!,'DADOS DOS EMPREENDIMENTOS'!#REF!,AK70*(1-'DADOS DOS EMPREENDIMENTOS'!#REF!-'DADOS DOS EMPREENDIMENTOS'!#REF!))))</f>
        <v>#REF!</v>
      </c>
      <c r="AN70" s="52">
        <v>29</v>
      </c>
      <c r="AO70" s="31">
        <v>40817</v>
      </c>
      <c r="AP70" s="9">
        <v>0</v>
      </c>
      <c r="AQ70" s="67" t="e">
        <f>IF(AN70&lt;'DADOS DOS EMPREENDIMENTOS'!AP$11,0,IF(AN70='DADOS DOS EMPREENDIMENTOS'!AP$11,SUM(AP$41:AP70)*(1-'DADOS DOS EMPREENDIMENTOS'!#REF!-'DADOS DOS EMPREENDIMENTOS'!#REF!)+'DADOS DOS EMPREENDIMENTOS'!#REF!,IF(AN70='DADOS DOS EMPREENDIMENTOS'!#REF!,'DADOS DOS EMPREENDIMENTOS'!#REF!,AP70*(1-'DADOS DOS EMPREENDIMENTOS'!#REF!-'DADOS DOS EMPREENDIMENTOS'!#REF!))))</f>
        <v>#REF!</v>
      </c>
      <c r="AS70" s="52">
        <v>29</v>
      </c>
      <c r="AT70" s="31">
        <v>40817</v>
      </c>
      <c r="AU70" s="9">
        <v>0</v>
      </c>
      <c r="AV70" s="67" t="e">
        <f>IF(AS70&lt;'DADOS DOS EMPREENDIMENTOS'!AU$11,0,IF(AS70='DADOS DOS EMPREENDIMENTOS'!AU$11,SUM(AU$41:AU70)*(1-'DADOS DOS EMPREENDIMENTOS'!#REF!-'DADOS DOS EMPREENDIMENTOS'!#REF!)+'DADOS DOS EMPREENDIMENTOS'!#REF!,IF(AS70='DADOS DOS EMPREENDIMENTOS'!#REF!,'DADOS DOS EMPREENDIMENTOS'!#REF!,AU70*(1-'DADOS DOS EMPREENDIMENTOS'!#REF!-'DADOS DOS EMPREENDIMENTOS'!#REF!))))</f>
        <v>#REF!</v>
      </c>
      <c r="AX70" s="52">
        <v>29</v>
      </c>
      <c r="AY70" s="31">
        <v>40817</v>
      </c>
      <c r="AZ70" s="9">
        <v>0</v>
      </c>
      <c r="BA70" s="67" t="e">
        <f>IF(AX70&lt;'DADOS DOS EMPREENDIMENTOS'!AZ$11,0,IF(AX70='DADOS DOS EMPREENDIMENTOS'!AZ$11,SUM(AZ$41:AZ70)*(1-'DADOS DOS EMPREENDIMENTOS'!#REF!-'DADOS DOS EMPREENDIMENTOS'!#REF!)+'DADOS DOS EMPREENDIMENTOS'!#REF!,IF(AX70='DADOS DOS EMPREENDIMENTOS'!#REF!,'DADOS DOS EMPREENDIMENTOS'!#REF!,AZ70*(1-'DADOS DOS EMPREENDIMENTOS'!#REF!-'DADOS DOS EMPREENDIMENTOS'!#REF!))))</f>
        <v>#REF!</v>
      </c>
      <c r="BC70" s="52">
        <v>29</v>
      </c>
      <c r="BD70" s="31">
        <v>40817</v>
      </c>
      <c r="BE70" s="9">
        <v>0</v>
      </c>
      <c r="BF70" s="67" t="e">
        <f>IF(BC70&lt;'DADOS DOS EMPREENDIMENTOS'!BE$11,0,IF(BC70='DADOS DOS EMPREENDIMENTOS'!BE$11,SUM(BE$41:BE70)*(1-'DADOS DOS EMPREENDIMENTOS'!#REF!-'DADOS DOS EMPREENDIMENTOS'!#REF!)+'DADOS DOS EMPREENDIMENTOS'!#REF!,IF(BC70='DADOS DOS EMPREENDIMENTOS'!#REF!,'DADOS DOS EMPREENDIMENTOS'!#REF!,BE70*(1-'DADOS DOS EMPREENDIMENTOS'!#REF!-'DADOS DOS EMPREENDIMENTOS'!#REF!))))</f>
        <v>#REF!</v>
      </c>
      <c r="BH70" s="52">
        <v>29</v>
      </c>
      <c r="BI70" s="31">
        <v>40817</v>
      </c>
      <c r="BJ70" s="9">
        <v>0</v>
      </c>
      <c r="BK70" s="67" t="e">
        <f>IF(BH70&lt;'DADOS DOS EMPREENDIMENTOS'!BJ$11,0,IF(BH70='DADOS DOS EMPREENDIMENTOS'!BJ$11,SUM(BJ$41:BJ70)*(1-'DADOS DOS EMPREENDIMENTOS'!#REF!-'DADOS DOS EMPREENDIMENTOS'!#REF!)+'DADOS DOS EMPREENDIMENTOS'!#REF!,IF(BH70='DADOS DOS EMPREENDIMENTOS'!#REF!,'DADOS DOS EMPREENDIMENTOS'!#REF!,BJ70*(1-'DADOS DOS EMPREENDIMENTOS'!#REF!-'DADOS DOS EMPREENDIMENTOS'!#REF!))))</f>
        <v>#REF!</v>
      </c>
      <c r="BM70" s="52">
        <v>29</v>
      </c>
      <c r="BN70" s="31">
        <v>40817</v>
      </c>
      <c r="BO70" s="9">
        <v>0</v>
      </c>
      <c r="BP70" s="67" t="e">
        <f>IF(BM70&lt;'DADOS DOS EMPREENDIMENTOS'!BO$11,0,IF(BM70='DADOS DOS EMPREENDIMENTOS'!BO$11,SUM(BO$41:BO70)*(1-'DADOS DOS EMPREENDIMENTOS'!#REF!-'DADOS DOS EMPREENDIMENTOS'!#REF!)+'DADOS DOS EMPREENDIMENTOS'!#REF!,IF(BM70='DADOS DOS EMPREENDIMENTOS'!BO$12,'DADOS DOS EMPREENDIMENTOS'!#REF!,BO70*(1-'DADOS DOS EMPREENDIMENTOS'!#REF!-'DADOS DOS EMPREENDIMENTOS'!#REF!))))</f>
        <v>#REF!</v>
      </c>
      <c r="BR70" s="52">
        <v>29</v>
      </c>
      <c r="BS70" s="31">
        <v>40817</v>
      </c>
      <c r="BT70" s="9">
        <v>0</v>
      </c>
      <c r="BU70" s="67" t="e">
        <f>IF(BR70&lt;'DADOS DOS EMPREENDIMENTOS'!BT$11,0,IF(BR70='DADOS DOS EMPREENDIMENTOS'!BT$11,SUM(BT$41:BT70)*(1-'DADOS DOS EMPREENDIMENTOS'!#REF!-'DADOS DOS EMPREENDIMENTOS'!#REF!)+'DADOS DOS EMPREENDIMENTOS'!#REF!,IF(BR70='DADOS DOS EMPREENDIMENTOS'!BT$12,'DADOS DOS EMPREENDIMENTOS'!#REF!,BT70*(1-'DADOS DOS EMPREENDIMENTOS'!#REF!-'DADOS DOS EMPREENDIMENTOS'!#REF!))))</f>
        <v>#REF!</v>
      </c>
      <c r="BW70" s="52">
        <v>29</v>
      </c>
      <c r="BX70" s="31">
        <v>40817</v>
      </c>
      <c r="BY70" s="9">
        <v>0</v>
      </c>
      <c r="BZ70" s="67" t="e">
        <f>IF(BW70&lt;'DADOS DOS EMPREENDIMENTOS'!BY$11,0,IF(BW70='DADOS DOS EMPREENDIMENTOS'!BY$11,SUM(BY$41:BY70)*(1-'DADOS DOS EMPREENDIMENTOS'!#REF!-'DADOS DOS EMPREENDIMENTOS'!#REF!)+'DADOS DOS EMPREENDIMENTOS'!#REF!,IF(BW70='DADOS DOS EMPREENDIMENTOS'!BY$12,'DADOS DOS EMPREENDIMENTOS'!#REF!,BY70*(1-'DADOS DOS EMPREENDIMENTOS'!#REF!-'DADOS DOS EMPREENDIMENTOS'!#REF!))))</f>
        <v>#REF!</v>
      </c>
      <c r="CB70" s="52">
        <v>29</v>
      </c>
      <c r="CC70" s="31">
        <v>40817</v>
      </c>
      <c r="CD70" s="9">
        <v>0</v>
      </c>
      <c r="CE70" s="67" t="e">
        <f>IF(CB70&lt;'DADOS DOS EMPREENDIMENTOS'!CD$11,0,IF(CB70='DADOS DOS EMPREENDIMENTOS'!CD$11,SUM(CD$41:CD70)*(1-'DADOS DOS EMPREENDIMENTOS'!#REF!-'DADOS DOS EMPREENDIMENTOS'!#REF!)+'DADOS DOS EMPREENDIMENTOS'!#REF!,IF(CB70='DADOS DOS EMPREENDIMENTOS'!CD$12,'DADOS DOS EMPREENDIMENTOS'!#REF!,CD70*(1-'DADOS DOS EMPREENDIMENTOS'!#REF!-'DADOS DOS EMPREENDIMENTOS'!#REF!))))</f>
        <v>#REF!</v>
      </c>
      <c r="CG70" s="52"/>
      <c r="CH70" s="31"/>
      <c r="CI70" s="9"/>
      <c r="CJ70" s="67"/>
    </row>
    <row r="71" spans="15:88" ht="12.75" customHeight="1" thickBot="1" x14ac:dyDescent="0.25">
      <c r="O71" s="45">
        <v>56</v>
      </c>
      <c r="P71" s="607" t="s">
        <v>367</v>
      </c>
      <c r="Q71" s="642">
        <f>VLOOKUP(P71,Apoio!C:E,2,0)</f>
        <v>240000</v>
      </c>
      <c r="R71" s="609">
        <v>240000</v>
      </c>
      <c r="S71" s="359">
        <v>5</v>
      </c>
      <c r="T71" s="52">
        <v>30</v>
      </c>
      <c r="U71" s="31"/>
      <c r="V71" s="9"/>
      <c r="W71" s="67"/>
      <c r="Y71" s="52">
        <v>30</v>
      </c>
      <c r="Z71" s="31"/>
      <c r="AA71" s="9"/>
      <c r="AB71" s="67"/>
      <c r="AD71" s="52">
        <v>30</v>
      </c>
      <c r="AE71" s="31">
        <v>40848</v>
      </c>
      <c r="AF71" s="9">
        <v>0</v>
      </c>
      <c r="AG71" s="67" t="e">
        <f>IF(AD71&lt;'DADOS DOS EMPREENDIMENTOS'!AF$11,0,IF(AD71='DADOS DOS EMPREENDIMENTOS'!AF$11,SUM(AF$41:AF71)*(1-'DADOS DOS EMPREENDIMENTOS'!#REF!-'DADOS DOS EMPREENDIMENTOS'!#REF!)+'DADOS DOS EMPREENDIMENTOS'!#REF!,IF(AD71='DADOS DOS EMPREENDIMENTOS'!#REF!,'DADOS DOS EMPREENDIMENTOS'!#REF!,AF71*(1-'DADOS DOS EMPREENDIMENTOS'!#REF!-'DADOS DOS EMPREENDIMENTOS'!#REF!))))</f>
        <v>#REF!</v>
      </c>
      <c r="AI71" s="52">
        <v>30</v>
      </c>
      <c r="AJ71" s="31">
        <v>40848</v>
      </c>
      <c r="AK71" s="9">
        <v>0</v>
      </c>
      <c r="AL71" s="67" t="e">
        <f>IF(AI71&lt;'DADOS DOS EMPREENDIMENTOS'!AK$11,0,IF(AI71='DADOS DOS EMPREENDIMENTOS'!AK$11,SUM(AK$41:AK71)*(1-'DADOS DOS EMPREENDIMENTOS'!#REF!-'DADOS DOS EMPREENDIMENTOS'!#REF!)+'DADOS DOS EMPREENDIMENTOS'!#REF!,IF(AI71='DADOS DOS EMPREENDIMENTOS'!#REF!,'DADOS DOS EMPREENDIMENTOS'!#REF!,AK71*(1-'DADOS DOS EMPREENDIMENTOS'!#REF!-'DADOS DOS EMPREENDIMENTOS'!#REF!))))</f>
        <v>#REF!</v>
      </c>
      <c r="AN71" s="52">
        <v>30</v>
      </c>
      <c r="AO71" s="31">
        <v>40848</v>
      </c>
      <c r="AP71" s="9">
        <v>0</v>
      </c>
      <c r="AQ71" s="67" t="e">
        <f>IF(AN71&lt;'DADOS DOS EMPREENDIMENTOS'!AP$11,0,IF(AN71='DADOS DOS EMPREENDIMENTOS'!AP$11,SUM(AP$41:AP71)*(1-'DADOS DOS EMPREENDIMENTOS'!#REF!-'DADOS DOS EMPREENDIMENTOS'!#REF!)+'DADOS DOS EMPREENDIMENTOS'!#REF!,IF(AN71='DADOS DOS EMPREENDIMENTOS'!#REF!,'DADOS DOS EMPREENDIMENTOS'!#REF!,AP71*(1-'DADOS DOS EMPREENDIMENTOS'!#REF!-'DADOS DOS EMPREENDIMENTOS'!#REF!))))</f>
        <v>#REF!</v>
      </c>
      <c r="AS71" s="52">
        <v>30</v>
      </c>
      <c r="AT71" s="31">
        <v>40848</v>
      </c>
      <c r="AU71" s="9">
        <v>0</v>
      </c>
      <c r="AV71" s="67" t="e">
        <f>IF(AS71&lt;'DADOS DOS EMPREENDIMENTOS'!AU$11,0,IF(AS71='DADOS DOS EMPREENDIMENTOS'!AU$11,SUM(AU$41:AU71)*(1-'DADOS DOS EMPREENDIMENTOS'!#REF!-'DADOS DOS EMPREENDIMENTOS'!#REF!)+'DADOS DOS EMPREENDIMENTOS'!#REF!,IF(AS71='DADOS DOS EMPREENDIMENTOS'!#REF!,'DADOS DOS EMPREENDIMENTOS'!#REF!,AU71*(1-'DADOS DOS EMPREENDIMENTOS'!#REF!-'DADOS DOS EMPREENDIMENTOS'!#REF!))))</f>
        <v>#REF!</v>
      </c>
      <c r="AX71" s="52">
        <v>30</v>
      </c>
      <c r="AY71" s="31">
        <v>40848</v>
      </c>
      <c r="AZ71" s="9">
        <v>0</v>
      </c>
      <c r="BA71" s="67" t="e">
        <f>IF(AX71&lt;'DADOS DOS EMPREENDIMENTOS'!AZ$11,0,IF(AX71='DADOS DOS EMPREENDIMENTOS'!AZ$11,SUM(AZ$41:AZ71)*(1-'DADOS DOS EMPREENDIMENTOS'!#REF!-'DADOS DOS EMPREENDIMENTOS'!#REF!)+'DADOS DOS EMPREENDIMENTOS'!#REF!,IF(AX71='DADOS DOS EMPREENDIMENTOS'!#REF!,'DADOS DOS EMPREENDIMENTOS'!#REF!,AZ71*(1-'DADOS DOS EMPREENDIMENTOS'!#REF!-'DADOS DOS EMPREENDIMENTOS'!#REF!))))</f>
        <v>#REF!</v>
      </c>
      <c r="BC71" s="52">
        <v>30</v>
      </c>
      <c r="BD71" s="31">
        <v>40848</v>
      </c>
      <c r="BE71" s="9">
        <v>0</v>
      </c>
      <c r="BF71" s="67" t="e">
        <f>IF(BC71&lt;'DADOS DOS EMPREENDIMENTOS'!BE$11,0,IF(BC71='DADOS DOS EMPREENDIMENTOS'!BE$11,SUM(BE$41:BE71)*(1-'DADOS DOS EMPREENDIMENTOS'!#REF!-'DADOS DOS EMPREENDIMENTOS'!#REF!)+'DADOS DOS EMPREENDIMENTOS'!#REF!,IF(BC71='DADOS DOS EMPREENDIMENTOS'!#REF!,'DADOS DOS EMPREENDIMENTOS'!#REF!,BE71*(1-'DADOS DOS EMPREENDIMENTOS'!#REF!-'DADOS DOS EMPREENDIMENTOS'!#REF!))))</f>
        <v>#REF!</v>
      </c>
      <c r="BH71" s="52">
        <v>30</v>
      </c>
      <c r="BI71" s="31">
        <v>40848</v>
      </c>
      <c r="BJ71" s="9">
        <v>0</v>
      </c>
      <c r="BK71" s="67" t="e">
        <f>IF(BH71&lt;'DADOS DOS EMPREENDIMENTOS'!BJ$11,0,IF(BH71='DADOS DOS EMPREENDIMENTOS'!BJ$11,SUM(BJ$41:BJ71)*(1-'DADOS DOS EMPREENDIMENTOS'!#REF!-'DADOS DOS EMPREENDIMENTOS'!#REF!)+'DADOS DOS EMPREENDIMENTOS'!#REF!,IF(BH71='DADOS DOS EMPREENDIMENTOS'!#REF!,'DADOS DOS EMPREENDIMENTOS'!#REF!,BJ71*(1-'DADOS DOS EMPREENDIMENTOS'!#REF!-'DADOS DOS EMPREENDIMENTOS'!#REF!))))</f>
        <v>#REF!</v>
      </c>
      <c r="BM71" s="52">
        <v>30</v>
      </c>
      <c r="BN71" s="31">
        <v>40848</v>
      </c>
      <c r="BO71" s="9">
        <v>0</v>
      </c>
      <c r="BP71" s="67" t="e">
        <f>IF(BM71&lt;'DADOS DOS EMPREENDIMENTOS'!BO$11,0,IF(BM71='DADOS DOS EMPREENDIMENTOS'!BO$11,SUM(BO$41:BO71)*(1-'DADOS DOS EMPREENDIMENTOS'!#REF!-'DADOS DOS EMPREENDIMENTOS'!#REF!)+'DADOS DOS EMPREENDIMENTOS'!#REF!,IF(BM71='DADOS DOS EMPREENDIMENTOS'!BO$12,'DADOS DOS EMPREENDIMENTOS'!#REF!,BO71*(1-'DADOS DOS EMPREENDIMENTOS'!#REF!-'DADOS DOS EMPREENDIMENTOS'!#REF!))))</f>
        <v>#REF!</v>
      </c>
      <c r="BR71" s="52">
        <v>30</v>
      </c>
      <c r="BS71" s="31">
        <v>40848</v>
      </c>
      <c r="BT71" s="9">
        <v>0</v>
      </c>
      <c r="BU71" s="67" t="e">
        <f>IF(BR71&lt;'DADOS DOS EMPREENDIMENTOS'!BT$11,0,IF(BR71='DADOS DOS EMPREENDIMENTOS'!BT$11,SUM(BT$41:BT71)*(1-'DADOS DOS EMPREENDIMENTOS'!#REF!-'DADOS DOS EMPREENDIMENTOS'!#REF!)+'DADOS DOS EMPREENDIMENTOS'!#REF!,IF(BR71='DADOS DOS EMPREENDIMENTOS'!BT$12,'DADOS DOS EMPREENDIMENTOS'!#REF!,BT71*(1-'DADOS DOS EMPREENDIMENTOS'!#REF!-'DADOS DOS EMPREENDIMENTOS'!#REF!))))</f>
        <v>#REF!</v>
      </c>
      <c r="BW71" s="52">
        <v>30</v>
      </c>
      <c r="BX71" s="31">
        <v>40848</v>
      </c>
      <c r="BY71" s="9">
        <v>0</v>
      </c>
      <c r="BZ71" s="67" t="e">
        <f>IF(BW71&lt;'DADOS DOS EMPREENDIMENTOS'!BY$11,0,IF(BW71='DADOS DOS EMPREENDIMENTOS'!BY$11,SUM(BY$41:BY71)*(1-'DADOS DOS EMPREENDIMENTOS'!#REF!-'DADOS DOS EMPREENDIMENTOS'!#REF!)+'DADOS DOS EMPREENDIMENTOS'!#REF!,IF(BW71='DADOS DOS EMPREENDIMENTOS'!BY$12,'DADOS DOS EMPREENDIMENTOS'!#REF!,BY71*(1-'DADOS DOS EMPREENDIMENTOS'!#REF!-'DADOS DOS EMPREENDIMENTOS'!#REF!))))</f>
        <v>#REF!</v>
      </c>
      <c r="CB71" s="52">
        <v>30</v>
      </c>
      <c r="CC71" s="31">
        <v>40848</v>
      </c>
      <c r="CD71" s="9">
        <v>0</v>
      </c>
      <c r="CE71" s="67" t="e">
        <f>IF(CB71&lt;'DADOS DOS EMPREENDIMENTOS'!CD$11,0,IF(CB71='DADOS DOS EMPREENDIMENTOS'!CD$11,SUM(CD$41:CD71)*(1-'DADOS DOS EMPREENDIMENTOS'!#REF!-'DADOS DOS EMPREENDIMENTOS'!#REF!)+'DADOS DOS EMPREENDIMENTOS'!#REF!,IF(CB71='DADOS DOS EMPREENDIMENTOS'!CD$12,'DADOS DOS EMPREENDIMENTOS'!#REF!,CD71*(1-'DADOS DOS EMPREENDIMENTOS'!#REF!-'DADOS DOS EMPREENDIMENTOS'!#REF!))))</f>
        <v>#REF!</v>
      </c>
      <c r="CG71" s="52"/>
      <c r="CH71" s="31"/>
      <c r="CI71" s="9"/>
      <c r="CJ71" s="67"/>
    </row>
    <row r="72" spans="15:88" ht="12.75" customHeight="1" thickBot="1" x14ac:dyDescent="0.25">
      <c r="O72" s="43">
        <v>57</v>
      </c>
      <c r="P72" s="607" t="s">
        <v>368</v>
      </c>
      <c r="Q72" s="642">
        <f>VLOOKUP(P72,Apoio!C:E,2,0)</f>
        <v>240000</v>
      </c>
      <c r="R72" s="609">
        <v>240000</v>
      </c>
      <c r="S72" s="359">
        <v>5</v>
      </c>
      <c r="T72" s="52">
        <v>31</v>
      </c>
      <c r="U72" s="31"/>
      <c r="V72" s="9"/>
      <c r="W72" s="67"/>
      <c r="Y72" s="52">
        <v>31</v>
      </c>
      <c r="Z72" s="31"/>
      <c r="AA72" s="9"/>
      <c r="AB72" s="67"/>
      <c r="AD72" s="52">
        <v>31</v>
      </c>
      <c r="AE72" s="31">
        <v>40878</v>
      </c>
      <c r="AF72" s="9">
        <v>0</v>
      </c>
      <c r="AG72" s="67" t="e">
        <f>IF(AD72&lt;'DADOS DOS EMPREENDIMENTOS'!AF$11,0,IF(AD72='DADOS DOS EMPREENDIMENTOS'!AF$11,SUM(AF$41:AF72)*(1-'DADOS DOS EMPREENDIMENTOS'!#REF!-'DADOS DOS EMPREENDIMENTOS'!#REF!)+'DADOS DOS EMPREENDIMENTOS'!#REF!,IF(AD72='DADOS DOS EMPREENDIMENTOS'!#REF!,'DADOS DOS EMPREENDIMENTOS'!#REF!,AF72*(1-'DADOS DOS EMPREENDIMENTOS'!#REF!-'DADOS DOS EMPREENDIMENTOS'!#REF!))))</f>
        <v>#REF!</v>
      </c>
      <c r="AI72" s="52">
        <v>31</v>
      </c>
      <c r="AJ72" s="31">
        <v>40878</v>
      </c>
      <c r="AK72" s="9">
        <v>0</v>
      </c>
      <c r="AL72" s="67" t="e">
        <f>IF(AI72&lt;'DADOS DOS EMPREENDIMENTOS'!AK$11,0,IF(AI72='DADOS DOS EMPREENDIMENTOS'!AK$11,SUM(AK$41:AK72)*(1-'DADOS DOS EMPREENDIMENTOS'!#REF!-'DADOS DOS EMPREENDIMENTOS'!#REF!)+'DADOS DOS EMPREENDIMENTOS'!#REF!,IF(AI72='DADOS DOS EMPREENDIMENTOS'!#REF!,'DADOS DOS EMPREENDIMENTOS'!#REF!,AK72*(1-'DADOS DOS EMPREENDIMENTOS'!#REF!-'DADOS DOS EMPREENDIMENTOS'!#REF!))))</f>
        <v>#REF!</v>
      </c>
      <c r="AN72" s="52">
        <v>31</v>
      </c>
      <c r="AO72" s="31">
        <v>40878</v>
      </c>
      <c r="AP72" s="9">
        <v>0</v>
      </c>
      <c r="AQ72" s="67" t="e">
        <f>IF(AN72&lt;'DADOS DOS EMPREENDIMENTOS'!AP$11,0,IF(AN72='DADOS DOS EMPREENDIMENTOS'!AP$11,SUM(AP$41:AP72)*(1-'DADOS DOS EMPREENDIMENTOS'!#REF!-'DADOS DOS EMPREENDIMENTOS'!#REF!)+'DADOS DOS EMPREENDIMENTOS'!#REF!,IF(AN72='DADOS DOS EMPREENDIMENTOS'!#REF!,'DADOS DOS EMPREENDIMENTOS'!#REF!,AP72*(1-'DADOS DOS EMPREENDIMENTOS'!#REF!-'DADOS DOS EMPREENDIMENTOS'!#REF!))))</f>
        <v>#REF!</v>
      </c>
      <c r="AS72" s="52">
        <v>31</v>
      </c>
      <c r="AT72" s="31">
        <v>40878</v>
      </c>
      <c r="AU72" s="9">
        <v>0</v>
      </c>
      <c r="AV72" s="67" t="e">
        <f>IF(AS72&lt;'DADOS DOS EMPREENDIMENTOS'!AU$11,0,IF(AS72='DADOS DOS EMPREENDIMENTOS'!AU$11,SUM(AU$41:AU72)*(1-'DADOS DOS EMPREENDIMENTOS'!#REF!-'DADOS DOS EMPREENDIMENTOS'!#REF!)+'DADOS DOS EMPREENDIMENTOS'!#REF!,IF(AS72='DADOS DOS EMPREENDIMENTOS'!#REF!,'DADOS DOS EMPREENDIMENTOS'!#REF!,AU72*(1-'DADOS DOS EMPREENDIMENTOS'!#REF!-'DADOS DOS EMPREENDIMENTOS'!#REF!))))</f>
        <v>#REF!</v>
      </c>
      <c r="AX72" s="52">
        <v>31</v>
      </c>
      <c r="AY72" s="31">
        <v>40878</v>
      </c>
      <c r="AZ72" s="9">
        <v>0</v>
      </c>
      <c r="BA72" s="67" t="e">
        <f>IF(AX72&lt;'DADOS DOS EMPREENDIMENTOS'!AZ$11,0,IF(AX72='DADOS DOS EMPREENDIMENTOS'!AZ$11,SUM(AZ$41:AZ72)*(1-'DADOS DOS EMPREENDIMENTOS'!#REF!-'DADOS DOS EMPREENDIMENTOS'!#REF!)+'DADOS DOS EMPREENDIMENTOS'!#REF!,IF(AX72='DADOS DOS EMPREENDIMENTOS'!#REF!,'DADOS DOS EMPREENDIMENTOS'!#REF!,AZ72*(1-'DADOS DOS EMPREENDIMENTOS'!#REF!-'DADOS DOS EMPREENDIMENTOS'!#REF!))))</f>
        <v>#REF!</v>
      </c>
      <c r="BC72" s="52">
        <v>31</v>
      </c>
      <c r="BD72" s="31">
        <v>40878</v>
      </c>
      <c r="BE72" s="9">
        <v>0</v>
      </c>
      <c r="BF72" s="67" t="e">
        <f>IF(BC72&lt;'DADOS DOS EMPREENDIMENTOS'!BE$11,0,IF(BC72='DADOS DOS EMPREENDIMENTOS'!BE$11,SUM(BE$41:BE72)*(1-'DADOS DOS EMPREENDIMENTOS'!#REF!-'DADOS DOS EMPREENDIMENTOS'!#REF!)+'DADOS DOS EMPREENDIMENTOS'!#REF!,IF(BC72='DADOS DOS EMPREENDIMENTOS'!#REF!,'DADOS DOS EMPREENDIMENTOS'!#REF!,BE72*(1-'DADOS DOS EMPREENDIMENTOS'!#REF!-'DADOS DOS EMPREENDIMENTOS'!#REF!))))</f>
        <v>#REF!</v>
      </c>
      <c r="BH72" s="52">
        <v>31</v>
      </c>
      <c r="BI72" s="31">
        <v>40878</v>
      </c>
      <c r="BJ72" s="9">
        <v>0</v>
      </c>
      <c r="BK72" s="67" t="e">
        <f>IF(BH72&lt;'DADOS DOS EMPREENDIMENTOS'!BJ$11,0,IF(BH72='DADOS DOS EMPREENDIMENTOS'!BJ$11,SUM(BJ$41:BJ72)*(1-'DADOS DOS EMPREENDIMENTOS'!#REF!-'DADOS DOS EMPREENDIMENTOS'!#REF!)+'DADOS DOS EMPREENDIMENTOS'!#REF!,IF(BH72='DADOS DOS EMPREENDIMENTOS'!#REF!,'DADOS DOS EMPREENDIMENTOS'!#REF!,BJ72*(1-'DADOS DOS EMPREENDIMENTOS'!#REF!-'DADOS DOS EMPREENDIMENTOS'!#REF!))))</f>
        <v>#REF!</v>
      </c>
      <c r="BM72" s="52">
        <v>31</v>
      </c>
      <c r="BN72" s="31">
        <v>40878</v>
      </c>
      <c r="BO72" s="9">
        <v>0</v>
      </c>
      <c r="BP72" s="67" t="e">
        <f>IF(BM72&lt;'DADOS DOS EMPREENDIMENTOS'!BO$11,0,IF(BM72='DADOS DOS EMPREENDIMENTOS'!BO$11,SUM(BO$41:BO72)*(1-'DADOS DOS EMPREENDIMENTOS'!#REF!-'DADOS DOS EMPREENDIMENTOS'!#REF!)+'DADOS DOS EMPREENDIMENTOS'!#REF!,IF(BM72='DADOS DOS EMPREENDIMENTOS'!BO$12,'DADOS DOS EMPREENDIMENTOS'!#REF!,BO72*(1-'DADOS DOS EMPREENDIMENTOS'!#REF!-'DADOS DOS EMPREENDIMENTOS'!#REF!))))</f>
        <v>#REF!</v>
      </c>
      <c r="BR72" s="52">
        <v>31</v>
      </c>
      <c r="BS72" s="31">
        <v>40878</v>
      </c>
      <c r="BT72" s="9">
        <v>0</v>
      </c>
      <c r="BU72" s="67" t="e">
        <f>IF(BR72&lt;'DADOS DOS EMPREENDIMENTOS'!BT$11,0,IF(BR72='DADOS DOS EMPREENDIMENTOS'!BT$11,SUM(BT$41:BT72)*(1-'DADOS DOS EMPREENDIMENTOS'!#REF!-'DADOS DOS EMPREENDIMENTOS'!#REF!)+'DADOS DOS EMPREENDIMENTOS'!#REF!,IF(BR72='DADOS DOS EMPREENDIMENTOS'!BT$12,'DADOS DOS EMPREENDIMENTOS'!#REF!,BT72*(1-'DADOS DOS EMPREENDIMENTOS'!#REF!-'DADOS DOS EMPREENDIMENTOS'!#REF!))))</f>
        <v>#REF!</v>
      </c>
      <c r="BW72" s="52">
        <v>31</v>
      </c>
      <c r="BX72" s="31">
        <v>40878</v>
      </c>
      <c r="BY72" s="9">
        <v>0</v>
      </c>
      <c r="BZ72" s="67" t="e">
        <f>IF(BW72&lt;'DADOS DOS EMPREENDIMENTOS'!BY$11,0,IF(BW72='DADOS DOS EMPREENDIMENTOS'!BY$11,SUM(BY$41:BY72)*(1-'DADOS DOS EMPREENDIMENTOS'!#REF!-'DADOS DOS EMPREENDIMENTOS'!#REF!)+'DADOS DOS EMPREENDIMENTOS'!#REF!,IF(BW72='DADOS DOS EMPREENDIMENTOS'!BY$12,'DADOS DOS EMPREENDIMENTOS'!#REF!,BY72*(1-'DADOS DOS EMPREENDIMENTOS'!#REF!-'DADOS DOS EMPREENDIMENTOS'!#REF!))))</f>
        <v>#REF!</v>
      </c>
      <c r="CB72" s="52">
        <v>31</v>
      </c>
      <c r="CC72" s="31">
        <v>40878</v>
      </c>
      <c r="CD72" s="9">
        <v>0</v>
      </c>
      <c r="CE72" s="67" t="e">
        <f>IF(CB72&lt;'DADOS DOS EMPREENDIMENTOS'!CD$11,0,IF(CB72='DADOS DOS EMPREENDIMENTOS'!CD$11,SUM(CD$41:CD72)*(1-'DADOS DOS EMPREENDIMENTOS'!#REF!-'DADOS DOS EMPREENDIMENTOS'!#REF!)+'DADOS DOS EMPREENDIMENTOS'!#REF!,IF(CB72='DADOS DOS EMPREENDIMENTOS'!CD$12,'DADOS DOS EMPREENDIMENTOS'!#REF!,CD72*(1-'DADOS DOS EMPREENDIMENTOS'!#REF!-'DADOS DOS EMPREENDIMENTOS'!#REF!))))</f>
        <v>#REF!</v>
      </c>
      <c r="CG72" s="52"/>
      <c r="CH72" s="31"/>
      <c r="CI72" s="9"/>
      <c r="CJ72" s="67"/>
    </row>
    <row r="73" spans="15:88" ht="12.75" customHeight="1" thickBot="1" x14ac:dyDescent="0.25">
      <c r="O73" s="45">
        <v>58</v>
      </c>
      <c r="P73" s="607" t="s">
        <v>369</v>
      </c>
      <c r="Q73" s="642">
        <f>VLOOKUP(P73,Apoio!C:E,2,0)</f>
        <v>240000</v>
      </c>
      <c r="R73" s="609">
        <v>240000</v>
      </c>
      <c r="S73" s="359">
        <v>5</v>
      </c>
      <c r="T73" s="52">
        <v>32</v>
      </c>
      <c r="U73" s="31"/>
      <c r="V73" s="9"/>
      <c r="W73" s="67"/>
      <c r="Y73" s="52">
        <v>32</v>
      </c>
      <c r="Z73" s="31"/>
      <c r="AA73" s="9"/>
      <c r="AB73" s="67"/>
      <c r="AD73" s="52">
        <v>32</v>
      </c>
      <c r="AE73" s="31">
        <v>40909</v>
      </c>
      <c r="AF73" s="9">
        <v>0</v>
      </c>
      <c r="AG73" s="67" t="e">
        <f>IF(AD73&lt;'DADOS DOS EMPREENDIMENTOS'!AF$11,0,IF(AD73='DADOS DOS EMPREENDIMENTOS'!AF$11,SUM(AF$41:AF73)*(1-'DADOS DOS EMPREENDIMENTOS'!#REF!-'DADOS DOS EMPREENDIMENTOS'!#REF!)+'DADOS DOS EMPREENDIMENTOS'!#REF!,IF(AD73='DADOS DOS EMPREENDIMENTOS'!#REF!,'DADOS DOS EMPREENDIMENTOS'!#REF!,AF73*(1-'DADOS DOS EMPREENDIMENTOS'!#REF!-'DADOS DOS EMPREENDIMENTOS'!#REF!))))</f>
        <v>#REF!</v>
      </c>
      <c r="AI73" s="52">
        <v>32</v>
      </c>
      <c r="AJ73" s="31">
        <v>40909</v>
      </c>
      <c r="AK73" s="9">
        <v>0</v>
      </c>
      <c r="AL73" s="67" t="e">
        <f>IF(AI73&lt;'DADOS DOS EMPREENDIMENTOS'!AK$11,0,IF(AI73='DADOS DOS EMPREENDIMENTOS'!AK$11,SUM(AK$41:AK73)*(1-'DADOS DOS EMPREENDIMENTOS'!#REF!-'DADOS DOS EMPREENDIMENTOS'!#REF!)+'DADOS DOS EMPREENDIMENTOS'!#REF!,IF(AI73='DADOS DOS EMPREENDIMENTOS'!#REF!,'DADOS DOS EMPREENDIMENTOS'!#REF!,AK73*(1-'DADOS DOS EMPREENDIMENTOS'!#REF!-'DADOS DOS EMPREENDIMENTOS'!#REF!))))</f>
        <v>#REF!</v>
      </c>
      <c r="AN73" s="52">
        <v>32</v>
      </c>
      <c r="AO73" s="31">
        <v>40909</v>
      </c>
      <c r="AP73" s="9">
        <v>0</v>
      </c>
      <c r="AQ73" s="67" t="e">
        <f>IF(AN73&lt;'DADOS DOS EMPREENDIMENTOS'!AP$11,0,IF(AN73='DADOS DOS EMPREENDIMENTOS'!AP$11,SUM(AP$41:AP73)*(1-'DADOS DOS EMPREENDIMENTOS'!#REF!-'DADOS DOS EMPREENDIMENTOS'!#REF!)+'DADOS DOS EMPREENDIMENTOS'!#REF!,IF(AN73='DADOS DOS EMPREENDIMENTOS'!#REF!,'DADOS DOS EMPREENDIMENTOS'!#REF!,AP73*(1-'DADOS DOS EMPREENDIMENTOS'!#REF!-'DADOS DOS EMPREENDIMENTOS'!#REF!))))</f>
        <v>#REF!</v>
      </c>
      <c r="AS73" s="52">
        <v>32</v>
      </c>
      <c r="AT73" s="31">
        <v>40909</v>
      </c>
      <c r="AU73" s="9">
        <v>0</v>
      </c>
      <c r="AV73" s="67" t="e">
        <f>IF(AS73&lt;'DADOS DOS EMPREENDIMENTOS'!AU$11,0,IF(AS73='DADOS DOS EMPREENDIMENTOS'!AU$11,SUM(AU$41:AU73)*(1-'DADOS DOS EMPREENDIMENTOS'!#REF!-'DADOS DOS EMPREENDIMENTOS'!#REF!)+'DADOS DOS EMPREENDIMENTOS'!#REF!,IF(AS73='DADOS DOS EMPREENDIMENTOS'!#REF!,'DADOS DOS EMPREENDIMENTOS'!#REF!,AU73*(1-'DADOS DOS EMPREENDIMENTOS'!#REF!-'DADOS DOS EMPREENDIMENTOS'!#REF!))))</f>
        <v>#REF!</v>
      </c>
      <c r="AX73" s="52">
        <v>32</v>
      </c>
      <c r="AY73" s="31">
        <v>40909</v>
      </c>
      <c r="AZ73" s="9">
        <v>0</v>
      </c>
      <c r="BA73" s="67" t="e">
        <f>IF(AX73&lt;'DADOS DOS EMPREENDIMENTOS'!AZ$11,0,IF(AX73='DADOS DOS EMPREENDIMENTOS'!AZ$11,SUM(AZ$41:AZ73)*(1-'DADOS DOS EMPREENDIMENTOS'!#REF!-'DADOS DOS EMPREENDIMENTOS'!#REF!)+'DADOS DOS EMPREENDIMENTOS'!#REF!,IF(AX73='DADOS DOS EMPREENDIMENTOS'!#REF!,'DADOS DOS EMPREENDIMENTOS'!#REF!,AZ73*(1-'DADOS DOS EMPREENDIMENTOS'!#REF!-'DADOS DOS EMPREENDIMENTOS'!#REF!))))</f>
        <v>#REF!</v>
      </c>
      <c r="BC73" s="52">
        <v>32</v>
      </c>
      <c r="BD73" s="31">
        <v>40909</v>
      </c>
      <c r="BE73" s="9">
        <v>0</v>
      </c>
      <c r="BF73" s="67" t="e">
        <f>IF(BC73&lt;'DADOS DOS EMPREENDIMENTOS'!BE$11,0,IF(BC73='DADOS DOS EMPREENDIMENTOS'!BE$11,SUM(BE$41:BE73)*(1-'DADOS DOS EMPREENDIMENTOS'!#REF!-'DADOS DOS EMPREENDIMENTOS'!#REF!)+'DADOS DOS EMPREENDIMENTOS'!#REF!,IF(BC73='DADOS DOS EMPREENDIMENTOS'!#REF!,'DADOS DOS EMPREENDIMENTOS'!#REF!,BE73*(1-'DADOS DOS EMPREENDIMENTOS'!#REF!-'DADOS DOS EMPREENDIMENTOS'!#REF!))))</f>
        <v>#REF!</v>
      </c>
      <c r="BH73" s="52">
        <v>32</v>
      </c>
      <c r="BI73" s="31">
        <v>40909</v>
      </c>
      <c r="BJ73" s="9">
        <v>0</v>
      </c>
      <c r="BK73" s="67" t="e">
        <f>IF(BH73&lt;'DADOS DOS EMPREENDIMENTOS'!BJ$11,0,IF(BH73='DADOS DOS EMPREENDIMENTOS'!BJ$11,SUM(BJ$41:BJ73)*(1-'DADOS DOS EMPREENDIMENTOS'!#REF!-'DADOS DOS EMPREENDIMENTOS'!#REF!)+'DADOS DOS EMPREENDIMENTOS'!#REF!,IF(BH73='DADOS DOS EMPREENDIMENTOS'!#REF!,'DADOS DOS EMPREENDIMENTOS'!#REF!,BJ73*(1-'DADOS DOS EMPREENDIMENTOS'!#REF!-'DADOS DOS EMPREENDIMENTOS'!#REF!))))</f>
        <v>#REF!</v>
      </c>
      <c r="BM73" s="52">
        <v>32</v>
      </c>
      <c r="BN73" s="31">
        <v>40909</v>
      </c>
      <c r="BO73" s="9">
        <v>0</v>
      </c>
      <c r="BP73" s="67" t="e">
        <f>IF(BM73&lt;'DADOS DOS EMPREENDIMENTOS'!BO$11,0,IF(BM73='DADOS DOS EMPREENDIMENTOS'!BO$11,SUM(BO$41:BO73)*(1-'DADOS DOS EMPREENDIMENTOS'!#REF!-'DADOS DOS EMPREENDIMENTOS'!#REF!)+'DADOS DOS EMPREENDIMENTOS'!#REF!,IF(BM73='DADOS DOS EMPREENDIMENTOS'!BO$12,'DADOS DOS EMPREENDIMENTOS'!#REF!,BO73*(1-'DADOS DOS EMPREENDIMENTOS'!#REF!-'DADOS DOS EMPREENDIMENTOS'!#REF!))))</f>
        <v>#REF!</v>
      </c>
      <c r="BR73" s="52">
        <v>32</v>
      </c>
      <c r="BS73" s="31">
        <v>40909</v>
      </c>
      <c r="BT73" s="9">
        <v>0</v>
      </c>
      <c r="BU73" s="67" t="e">
        <f>IF(BR73&lt;'DADOS DOS EMPREENDIMENTOS'!BT$11,0,IF(BR73='DADOS DOS EMPREENDIMENTOS'!BT$11,SUM(BT$41:BT73)*(1-'DADOS DOS EMPREENDIMENTOS'!#REF!-'DADOS DOS EMPREENDIMENTOS'!#REF!)+'DADOS DOS EMPREENDIMENTOS'!#REF!,IF(BR73='DADOS DOS EMPREENDIMENTOS'!BT$12,'DADOS DOS EMPREENDIMENTOS'!#REF!,BT73*(1-'DADOS DOS EMPREENDIMENTOS'!#REF!-'DADOS DOS EMPREENDIMENTOS'!#REF!))))</f>
        <v>#REF!</v>
      </c>
      <c r="BW73" s="52">
        <v>32</v>
      </c>
      <c r="BX73" s="31">
        <v>40909</v>
      </c>
      <c r="BY73" s="9">
        <v>0</v>
      </c>
      <c r="BZ73" s="67" t="e">
        <f>IF(BW73&lt;'DADOS DOS EMPREENDIMENTOS'!BY$11,0,IF(BW73='DADOS DOS EMPREENDIMENTOS'!BY$11,SUM(BY$41:BY73)*(1-'DADOS DOS EMPREENDIMENTOS'!#REF!-'DADOS DOS EMPREENDIMENTOS'!#REF!)+'DADOS DOS EMPREENDIMENTOS'!#REF!,IF(BW73='DADOS DOS EMPREENDIMENTOS'!BY$12,'DADOS DOS EMPREENDIMENTOS'!#REF!,BY73*(1-'DADOS DOS EMPREENDIMENTOS'!#REF!-'DADOS DOS EMPREENDIMENTOS'!#REF!))))</f>
        <v>#REF!</v>
      </c>
      <c r="CB73" s="52">
        <v>32</v>
      </c>
      <c r="CC73" s="31">
        <v>40909</v>
      </c>
      <c r="CD73" s="9">
        <v>0</v>
      </c>
      <c r="CE73" s="67" t="e">
        <f>IF(CB73&lt;'DADOS DOS EMPREENDIMENTOS'!CD$11,0,IF(CB73='DADOS DOS EMPREENDIMENTOS'!CD$11,SUM(CD$41:CD73)*(1-'DADOS DOS EMPREENDIMENTOS'!#REF!-'DADOS DOS EMPREENDIMENTOS'!#REF!)+'DADOS DOS EMPREENDIMENTOS'!#REF!,IF(CB73='DADOS DOS EMPREENDIMENTOS'!CD$12,'DADOS DOS EMPREENDIMENTOS'!#REF!,CD73*(1-'DADOS DOS EMPREENDIMENTOS'!#REF!-'DADOS DOS EMPREENDIMENTOS'!#REF!))))</f>
        <v>#REF!</v>
      </c>
      <c r="CG73" s="52"/>
      <c r="CH73" s="31"/>
      <c r="CI73" s="9"/>
      <c r="CJ73" s="67"/>
    </row>
    <row r="74" spans="15:88" ht="12.75" customHeight="1" thickBot="1" x14ac:dyDescent="0.25">
      <c r="O74" s="43">
        <v>59</v>
      </c>
      <c r="P74" s="607" t="s">
        <v>370</v>
      </c>
      <c r="Q74" s="642">
        <f>VLOOKUP(P74,Apoio!C:E,2,0)</f>
        <v>240000</v>
      </c>
      <c r="R74" s="609">
        <v>240000</v>
      </c>
      <c r="S74" s="359">
        <v>5</v>
      </c>
      <c r="T74" s="52">
        <v>33</v>
      </c>
      <c r="U74" s="31"/>
      <c r="V74" s="9"/>
      <c r="W74" s="67"/>
      <c r="Y74" s="52">
        <v>33</v>
      </c>
      <c r="Z74" s="31"/>
      <c r="AA74" s="9"/>
      <c r="AB74" s="67"/>
      <c r="AD74" s="52">
        <v>33</v>
      </c>
      <c r="AE74" s="31">
        <v>40940</v>
      </c>
      <c r="AF74" s="9">
        <v>0</v>
      </c>
      <c r="AG74" s="67" t="e">
        <f>IF(AD74&lt;'DADOS DOS EMPREENDIMENTOS'!AF$11,0,IF(AD74='DADOS DOS EMPREENDIMENTOS'!AF$11,SUM(AF$41:AF74)*(1-'DADOS DOS EMPREENDIMENTOS'!#REF!-'DADOS DOS EMPREENDIMENTOS'!#REF!)+'DADOS DOS EMPREENDIMENTOS'!#REF!,IF(AD74='DADOS DOS EMPREENDIMENTOS'!#REF!,'DADOS DOS EMPREENDIMENTOS'!#REF!,AF74*(1-'DADOS DOS EMPREENDIMENTOS'!#REF!-'DADOS DOS EMPREENDIMENTOS'!#REF!))))</f>
        <v>#REF!</v>
      </c>
      <c r="AI74" s="52">
        <v>33</v>
      </c>
      <c r="AJ74" s="31">
        <v>40940</v>
      </c>
      <c r="AK74" s="9">
        <v>0</v>
      </c>
      <c r="AL74" s="67" t="e">
        <f>IF(AI74&lt;'DADOS DOS EMPREENDIMENTOS'!AK$11,0,IF(AI74='DADOS DOS EMPREENDIMENTOS'!AK$11,SUM(AK$41:AK74)*(1-'DADOS DOS EMPREENDIMENTOS'!#REF!-'DADOS DOS EMPREENDIMENTOS'!#REF!)+'DADOS DOS EMPREENDIMENTOS'!#REF!,IF(AI74='DADOS DOS EMPREENDIMENTOS'!#REF!,'DADOS DOS EMPREENDIMENTOS'!#REF!,AK74*(1-'DADOS DOS EMPREENDIMENTOS'!#REF!-'DADOS DOS EMPREENDIMENTOS'!#REF!))))</f>
        <v>#REF!</v>
      </c>
      <c r="AN74" s="52">
        <v>33</v>
      </c>
      <c r="AO74" s="31">
        <v>40940</v>
      </c>
      <c r="AP74" s="9">
        <v>0</v>
      </c>
      <c r="AQ74" s="67" t="e">
        <f>IF(AN74&lt;'DADOS DOS EMPREENDIMENTOS'!AP$11,0,IF(AN74='DADOS DOS EMPREENDIMENTOS'!AP$11,SUM(AP$41:AP74)*(1-'DADOS DOS EMPREENDIMENTOS'!#REF!-'DADOS DOS EMPREENDIMENTOS'!#REF!)+'DADOS DOS EMPREENDIMENTOS'!#REF!,IF(AN74='DADOS DOS EMPREENDIMENTOS'!#REF!,'DADOS DOS EMPREENDIMENTOS'!#REF!,AP74*(1-'DADOS DOS EMPREENDIMENTOS'!#REF!-'DADOS DOS EMPREENDIMENTOS'!#REF!))))</f>
        <v>#REF!</v>
      </c>
      <c r="AS74" s="52">
        <v>33</v>
      </c>
      <c r="AT74" s="31">
        <v>40940</v>
      </c>
      <c r="AU74" s="9">
        <v>0</v>
      </c>
      <c r="AV74" s="67" t="e">
        <f>IF(AS74&lt;'DADOS DOS EMPREENDIMENTOS'!AU$11,0,IF(AS74='DADOS DOS EMPREENDIMENTOS'!AU$11,SUM(AU$41:AU74)*(1-'DADOS DOS EMPREENDIMENTOS'!#REF!-'DADOS DOS EMPREENDIMENTOS'!#REF!)+'DADOS DOS EMPREENDIMENTOS'!#REF!,IF(AS74='DADOS DOS EMPREENDIMENTOS'!#REF!,'DADOS DOS EMPREENDIMENTOS'!#REF!,AU74*(1-'DADOS DOS EMPREENDIMENTOS'!#REF!-'DADOS DOS EMPREENDIMENTOS'!#REF!))))</f>
        <v>#REF!</v>
      </c>
      <c r="AX74" s="52">
        <v>33</v>
      </c>
      <c r="AY74" s="31">
        <v>40940</v>
      </c>
      <c r="AZ74" s="9">
        <v>0</v>
      </c>
      <c r="BA74" s="67" t="e">
        <f>IF(AX74&lt;'DADOS DOS EMPREENDIMENTOS'!AZ$11,0,IF(AX74='DADOS DOS EMPREENDIMENTOS'!AZ$11,SUM(AZ$41:AZ74)*(1-'DADOS DOS EMPREENDIMENTOS'!#REF!-'DADOS DOS EMPREENDIMENTOS'!#REF!)+'DADOS DOS EMPREENDIMENTOS'!#REF!,IF(AX74='DADOS DOS EMPREENDIMENTOS'!#REF!,'DADOS DOS EMPREENDIMENTOS'!#REF!,AZ74*(1-'DADOS DOS EMPREENDIMENTOS'!#REF!-'DADOS DOS EMPREENDIMENTOS'!#REF!))))</f>
        <v>#REF!</v>
      </c>
      <c r="BC74" s="52">
        <v>33</v>
      </c>
      <c r="BD74" s="31">
        <v>40940</v>
      </c>
      <c r="BE74" s="9">
        <v>0</v>
      </c>
      <c r="BF74" s="67" t="e">
        <f>IF(BC74&lt;'DADOS DOS EMPREENDIMENTOS'!BE$11,0,IF(BC74='DADOS DOS EMPREENDIMENTOS'!BE$11,SUM(BE$41:BE74)*(1-'DADOS DOS EMPREENDIMENTOS'!#REF!-'DADOS DOS EMPREENDIMENTOS'!#REF!)+'DADOS DOS EMPREENDIMENTOS'!#REF!,IF(BC74='DADOS DOS EMPREENDIMENTOS'!#REF!,'DADOS DOS EMPREENDIMENTOS'!#REF!,BE74*(1-'DADOS DOS EMPREENDIMENTOS'!#REF!-'DADOS DOS EMPREENDIMENTOS'!#REF!))))</f>
        <v>#REF!</v>
      </c>
      <c r="BH74" s="52">
        <v>33</v>
      </c>
      <c r="BI74" s="31">
        <v>40940</v>
      </c>
      <c r="BJ74" s="9">
        <v>0</v>
      </c>
      <c r="BK74" s="67" t="e">
        <f>IF(BH74&lt;'DADOS DOS EMPREENDIMENTOS'!BJ$11,0,IF(BH74='DADOS DOS EMPREENDIMENTOS'!BJ$11,SUM(BJ$41:BJ74)*(1-'DADOS DOS EMPREENDIMENTOS'!#REF!-'DADOS DOS EMPREENDIMENTOS'!#REF!)+'DADOS DOS EMPREENDIMENTOS'!#REF!,IF(BH74='DADOS DOS EMPREENDIMENTOS'!#REF!,'DADOS DOS EMPREENDIMENTOS'!#REF!,BJ74*(1-'DADOS DOS EMPREENDIMENTOS'!#REF!-'DADOS DOS EMPREENDIMENTOS'!#REF!))))</f>
        <v>#REF!</v>
      </c>
      <c r="BM74" s="52">
        <v>33</v>
      </c>
      <c r="BN74" s="31">
        <v>40940</v>
      </c>
      <c r="BO74" s="9">
        <v>0</v>
      </c>
      <c r="BP74" s="67" t="e">
        <f>IF(BM74&lt;'DADOS DOS EMPREENDIMENTOS'!BO$11,0,IF(BM74='DADOS DOS EMPREENDIMENTOS'!BO$11,SUM(BO$41:BO74)*(1-'DADOS DOS EMPREENDIMENTOS'!#REF!-'DADOS DOS EMPREENDIMENTOS'!#REF!)+'DADOS DOS EMPREENDIMENTOS'!#REF!,IF(BM74='DADOS DOS EMPREENDIMENTOS'!BO$12,'DADOS DOS EMPREENDIMENTOS'!#REF!,BO74*(1-'DADOS DOS EMPREENDIMENTOS'!#REF!-'DADOS DOS EMPREENDIMENTOS'!#REF!))))</f>
        <v>#REF!</v>
      </c>
      <c r="BR74" s="52">
        <v>33</v>
      </c>
      <c r="BS74" s="31">
        <v>40940</v>
      </c>
      <c r="BT74" s="9">
        <v>0</v>
      </c>
      <c r="BU74" s="67" t="e">
        <f>IF(BR74&lt;'DADOS DOS EMPREENDIMENTOS'!BT$11,0,IF(BR74='DADOS DOS EMPREENDIMENTOS'!BT$11,SUM(BT$41:BT74)*(1-'DADOS DOS EMPREENDIMENTOS'!#REF!-'DADOS DOS EMPREENDIMENTOS'!#REF!)+'DADOS DOS EMPREENDIMENTOS'!#REF!,IF(BR74='DADOS DOS EMPREENDIMENTOS'!BT$12,'DADOS DOS EMPREENDIMENTOS'!#REF!,BT74*(1-'DADOS DOS EMPREENDIMENTOS'!#REF!-'DADOS DOS EMPREENDIMENTOS'!#REF!))))</f>
        <v>#REF!</v>
      </c>
      <c r="BW74" s="52">
        <v>33</v>
      </c>
      <c r="BX74" s="31">
        <v>40940</v>
      </c>
      <c r="BY74" s="9">
        <v>0</v>
      </c>
      <c r="BZ74" s="67" t="e">
        <f>IF(BW74&lt;'DADOS DOS EMPREENDIMENTOS'!BY$11,0,IF(BW74='DADOS DOS EMPREENDIMENTOS'!BY$11,SUM(BY$41:BY74)*(1-'DADOS DOS EMPREENDIMENTOS'!#REF!-'DADOS DOS EMPREENDIMENTOS'!#REF!)+'DADOS DOS EMPREENDIMENTOS'!#REF!,IF(BW74='DADOS DOS EMPREENDIMENTOS'!BY$12,'DADOS DOS EMPREENDIMENTOS'!#REF!,BY74*(1-'DADOS DOS EMPREENDIMENTOS'!#REF!-'DADOS DOS EMPREENDIMENTOS'!#REF!))))</f>
        <v>#REF!</v>
      </c>
      <c r="CB74" s="52">
        <v>33</v>
      </c>
      <c r="CC74" s="31">
        <v>40940</v>
      </c>
      <c r="CD74" s="9">
        <v>0</v>
      </c>
      <c r="CE74" s="67" t="e">
        <f>IF(CB74&lt;'DADOS DOS EMPREENDIMENTOS'!CD$11,0,IF(CB74='DADOS DOS EMPREENDIMENTOS'!CD$11,SUM(CD$41:CD74)*(1-'DADOS DOS EMPREENDIMENTOS'!#REF!-'DADOS DOS EMPREENDIMENTOS'!#REF!)+'DADOS DOS EMPREENDIMENTOS'!#REF!,IF(CB74='DADOS DOS EMPREENDIMENTOS'!CD$12,'DADOS DOS EMPREENDIMENTOS'!#REF!,CD74*(1-'DADOS DOS EMPREENDIMENTOS'!#REF!-'DADOS DOS EMPREENDIMENTOS'!#REF!))))</f>
        <v>#REF!</v>
      </c>
      <c r="CG74" s="52"/>
      <c r="CH74" s="31"/>
      <c r="CI74" s="9"/>
      <c r="CJ74" s="67"/>
    </row>
    <row r="75" spans="15:88" ht="12.75" customHeight="1" thickBot="1" x14ac:dyDescent="0.25">
      <c r="O75" s="45">
        <v>60</v>
      </c>
      <c r="P75" s="607" t="s">
        <v>371</v>
      </c>
      <c r="Q75" s="642">
        <f>VLOOKUP(P75,Apoio!C:E,2,0)</f>
        <v>240000</v>
      </c>
      <c r="R75" s="609">
        <v>240000</v>
      </c>
      <c r="S75" s="359">
        <v>5</v>
      </c>
      <c r="T75" s="52">
        <v>34</v>
      </c>
      <c r="U75" s="31"/>
      <c r="V75" s="9"/>
      <c r="W75" s="67"/>
      <c r="Y75" s="52">
        <v>34</v>
      </c>
      <c r="Z75" s="31"/>
      <c r="AA75" s="9"/>
      <c r="AB75" s="67"/>
      <c r="AD75" s="52">
        <v>34</v>
      </c>
      <c r="AE75" s="31">
        <v>40969</v>
      </c>
      <c r="AF75" s="9">
        <v>0</v>
      </c>
      <c r="AG75" s="67" t="e">
        <f>IF(AD75&lt;'DADOS DOS EMPREENDIMENTOS'!AF$11,0,IF(AD75='DADOS DOS EMPREENDIMENTOS'!AF$11,SUM(AF$41:AF75)*(1-'DADOS DOS EMPREENDIMENTOS'!#REF!-'DADOS DOS EMPREENDIMENTOS'!#REF!)+'DADOS DOS EMPREENDIMENTOS'!#REF!,IF(AD75='DADOS DOS EMPREENDIMENTOS'!#REF!,'DADOS DOS EMPREENDIMENTOS'!#REF!,AF75*(1-'DADOS DOS EMPREENDIMENTOS'!#REF!-'DADOS DOS EMPREENDIMENTOS'!#REF!))))</f>
        <v>#REF!</v>
      </c>
      <c r="AI75" s="52">
        <v>34</v>
      </c>
      <c r="AJ75" s="31">
        <v>40969</v>
      </c>
      <c r="AK75" s="9">
        <v>0</v>
      </c>
      <c r="AL75" s="67" t="e">
        <f>IF(AI75&lt;'DADOS DOS EMPREENDIMENTOS'!AK$11,0,IF(AI75='DADOS DOS EMPREENDIMENTOS'!AK$11,SUM(AK$41:AK75)*(1-'DADOS DOS EMPREENDIMENTOS'!#REF!-'DADOS DOS EMPREENDIMENTOS'!#REF!)+'DADOS DOS EMPREENDIMENTOS'!#REF!,IF(AI75='DADOS DOS EMPREENDIMENTOS'!#REF!,'DADOS DOS EMPREENDIMENTOS'!#REF!,AK75*(1-'DADOS DOS EMPREENDIMENTOS'!#REF!-'DADOS DOS EMPREENDIMENTOS'!#REF!))))</f>
        <v>#REF!</v>
      </c>
      <c r="AN75" s="52">
        <v>34</v>
      </c>
      <c r="AO75" s="31">
        <v>40969</v>
      </c>
      <c r="AP75" s="9">
        <v>0</v>
      </c>
      <c r="AQ75" s="67" t="e">
        <f>IF(AN75&lt;'DADOS DOS EMPREENDIMENTOS'!AP$11,0,IF(AN75='DADOS DOS EMPREENDIMENTOS'!AP$11,SUM(AP$41:AP75)*(1-'DADOS DOS EMPREENDIMENTOS'!#REF!-'DADOS DOS EMPREENDIMENTOS'!#REF!)+'DADOS DOS EMPREENDIMENTOS'!#REF!,IF(AN75='DADOS DOS EMPREENDIMENTOS'!#REF!,'DADOS DOS EMPREENDIMENTOS'!#REF!,AP75*(1-'DADOS DOS EMPREENDIMENTOS'!#REF!-'DADOS DOS EMPREENDIMENTOS'!#REF!))))</f>
        <v>#REF!</v>
      </c>
      <c r="AS75" s="52">
        <v>34</v>
      </c>
      <c r="AT75" s="31">
        <v>40969</v>
      </c>
      <c r="AU75" s="9">
        <v>0</v>
      </c>
      <c r="AV75" s="67" t="e">
        <f>IF(AS75&lt;'DADOS DOS EMPREENDIMENTOS'!AU$11,0,IF(AS75='DADOS DOS EMPREENDIMENTOS'!AU$11,SUM(AU$41:AU75)*(1-'DADOS DOS EMPREENDIMENTOS'!#REF!-'DADOS DOS EMPREENDIMENTOS'!#REF!)+'DADOS DOS EMPREENDIMENTOS'!#REF!,IF(AS75='DADOS DOS EMPREENDIMENTOS'!#REF!,'DADOS DOS EMPREENDIMENTOS'!#REF!,AU75*(1-'DADOS DOS EMPREENDIMENTOS'!#REF!-'DADOS DOS EMPREENDIMENTOS'!#REF!))))</f>
        <v>#REF!</v>
      </c>
      <c r="AX75" s="52">
        <v>34</v>
      </c>
      <c r="AY75" s="31">
        <v>40969</v>
      </c>
      <c r="AZ75" s="9">
        <v>0</v>
      </c>
      <c r="BA75" s="67" t="e">
        <f>IF(AX75&lt;'DADOS DOS EMPREENDIMENTOS'!AZ$11,0,IF(AX75='DADOS DOS EMPREENDIMENTOS'!AZ$11,SUM(AZ$41:AZ75)*(1-'DADOS DOS EMPREENDIMENTOS'!#REF!-'DADOS DOS EMPREENDIMENTOS'!#REF!)+'DADOS DOS EMPREENDIMENTOS'!#REF!,IF(AX75='DADOS DOS EMPREENDIMENTOS'!#REF!,'DADOS DOS EMPREENDIMENTOS'!#REF!,AZ75*(1-'DADOS DOS EMPREENDIMENTOS'!#REF!-'DADOS DOS EMPREENDIMENTOS'!#REF!))))</f>
        <v>#REF!</v>
      </c>
      <c r="BC75" s="52">
        <v>34</v>
      </c>
      <c r="BD75" s="31">
        <v>40969</v>
      </c>
      <c r="BE75" s="9">
        <v>0</v>
      </c>
      <c r="BF75" s="67" t="e">
        <f>IF(BC75&lt;'DADOS DOS EMPREENDIMENTOS'!BE$11,0,IF(BC75='DADOS DOS EMPREENDIMENTOS'!BE$11,SUM(BE$41:BE75)*(1-'DADOS DOS EMPREENDIMENTOS'!#REF!-'DADOS DOS EMPREENDIMENTOS'!#REF!)+'DADOS DOS EMPREENDIMENTOS'!#REF!,IF(BC75='DADOS DOS EMPREENDIMENTOS'!#REF!,'DADOS DOS EMPREENDIMENTOS'!#REF!,BE75*(1-'DADOS DOS EMPREENDIMENTOS'!#REF!-'DADOS DOS EMPREENDIMENTOS'!#REF!))))</f>
        <v>#REF!</v>
      </c>
      <c r="BH75" s="52">
        <v>34</v>
      </c>
      <c r="BI75" s="31">
        <v>40969</v>
      </c>
      <c r="BJ75" s="9">
        <v>0</v>
      </c>
      <c r="BK75" s="67" t="e">
        <f>IF(BH75&lt;'DADOS DOS EMPREENDIMENTOS'!BJ$11,0,IF(BH75='DADOS DOS EMPREENDIMENTOS'!BJ$11,SUM(BJ$41:BJ75)*(1-'DADOS DOS EMPREENDIMENTOS'!#REF!-'DADOS DOS EMPREENDIMENTOS'!#REF!)+'DADOS DOS EMPREENDIMENTOS'!#REF!,IF(BH75='DADOS DOS EMPREENDIMENTOS'!#REF!,'DADOS DOS EMPREENDIMENTOS'!#REF!,BJ75*(1-'DADOS DOS EMPREENDIMENTOS'!#REF!-'DADOS DOS EMPREENDIMENTOS'!#REF!))))</f>
        <v>#REF!</v>
      </c>
      <c r="BM75" s="52">
        <v>34</v>
      </c>
      <c r="BN75" s="31">
        <v>40969</v>
      </c>
      <c r="BO75" s="9">
        <v>0</v>
      </c>
      <c r="BP75" s="67" t="e">
        <f>IF(BM75&lt;'DADOS DOS EMPREENDIMENTOS'!BO$11,0,IF(BM75='DADOS DOS EMPREENDIMENTOS'!BO$11,SUM(BO$41:BO75)*(1-'DADOS DOS EMPREENDIMENTOS'!#REF!-'DADOS DOS EMPREENDIMENTOS'!#REF!)+'DADOS DOS EMPREENDIMENTOS'!#REF!,IF(BM75='DADOS DOS EMPREENDIMENTOS'!BO$12,'DADOS DOS EMPREENDIMENTOS'!#REF!,BO75*(1-'DADOS DOS EMPREENDIMENTOS'!#REF!-'DADOS DOS EMPREENDIMENTOS'!#REF!))))</f>
        <v>#REF!</v>
      </c>
      <c r="BR75" s="52">
        <v>34</v>
      </c>
      <c r="BS75" s="31">
        <v>40969</v>
      </c>
      <c r="BT75" s="9">
        <v>0</v>
      </c>
      <c r="BU75" s="67" t="e">
        <f>IF(BR75&lt;'DADOS DOS EMPREENDIMENTOS'!BT$11,0,IF(BR75='DADOS DOS EMPREENDIMENTOS'!BT$11,SUM(BT$41:BT75)*(1-'DADOS DOS EMPREENDIMENTOS'!#REF!-'DADOS DOS EMPREENDIMENTOS'!#REF!)+'DADOS DOS EMPREENDIMENTOS'!#REF!,IF(BR75='DADOS DOS EMPREENDIMENTOS'!BT$12,'DADOS DOS EMPREENDIMENTOS'!#REF!,BT75*(1-'DADOS DOS EMPREENDIMENTOS'!#REF!-'DADOS DOS EMPREENDIMENTOS'!#REF!))))</f>
        <v>#REF!</v>
      </c>
      <c r="BW75" s="52">
        <v>34</v>
      </c>
      <c r="BX75" s="31">
        <v>40969</v>
      </c>
      <c r="BY75" s="9">
        <v>0</v>
      </c>
      <c r="BZ75" s="67" t="e">
        <f>IF(BW75&lt;'DADOS DOS EMPREENDIMENTOS'!BY$11,0,IF(BW75='DADOS DOS EMPREENDIMENTOS'!BY$11,SUM(BY$41:BY75)*(1-'DADOS DOS EMPREENDIMENTOS'!#REF!-'DADOS DOS EMPREENDIMENTOS'!#REF!)+'DADOS DOS EMPREENDIMENTOS'!#REF!,IF(BW75='DADOS DOS EMPREENDIMENTOS'!BY$12,'DADOS DOS EMPREENDIMENTOS'!#REF!,BY75*(1-'DADOS DOS EMPREENDIMENTOS'!#REF!-'DADOS DOS EMPREENDIMENTOS'!#REF!))))</f>
        <v>#REF!</v>
      </c>
      <c r="CB75" s="52">
        <v>34</v>
      </c>
      <c r="CC75" s="31">
        <v>40969</v>
      </c>
      <c r="CD75" s="9">
        <v>0</v>
      </c>
      <c r="CE75" s="67" t="e">
        <f>IF(CB75&lt;'DADOS DOS EMPREENDIMENTOS'!CD$11,0,IF(CB75='DADOS DOS EMPREENDIMENTOS'!CD$11,SUM(CD$41:CD75)*(1-'DADOS DOS EMPREENDIMENTOS'!#REF!-'DADOS DOS EMPREENDIMENTOS'!#REF!)+'DADOS DOS EMPREENDIMENTOS'!#REF!,IF(CB75='DADOS DOS EMPREENDIMENTOS'!CD$12,'DADOS DOS EMPREENDIMENTOS'!#REF!,CD75*(1-'DADOS DOS EMPREENDIMENTOS'!#REF!-'DADOS DOS EMPREENDIMENTOS'!#REF!))))</f>
        <v>#REF!</v>
      </c>
      <c r="CG75" s="52"/>
      <c r="CH75" s="31"/>
      <c r="CI75" s="9"/>
      <c r="CJ75" s="67"/>
    </row>
    <row r="76" spans="15:88" ht="12.75" customHeight="1" thickBot="1" x14ac:dyDescent="0.25">
      <c r="O76" s="43">
        <v>61</v>
      </c>
      <c r="P76" s="607" t="s">
        <v>372</v>
      </c>
      <c r="Q76" s="642">
        <f>VLOOKUP(P76,Apoio!C:E,2,0)</f>
        <v>240000</v>
      </c>
      <c r="R76" s="609">
        <v>240000</v>
      </c>
      <c r="S76" s="359">
        <v>5</v>
      </c>
      <c r="T76" s="52">
        <v>35</v>
      </c>
      <c r="U76" s="31"/>
      <c r="V76" s="9"/>
      <c r="W76" s="67"/>
      <c r="Y76" s="52">
        <v>35</v>
      </c>
      <c r="Z76" s="31"/>
      <c r="AA76" s="9"/>
      <c r="AB76" s="67"/>
      <c r="AD76" s="52">
        <v>35</v>
      </c>
      <c r="AE76" s="31">
        <v>41000</v>
      </c>
      <c r="AF76" s="9">
        <v>0</v>
      </c>
      <c r="AG76" s="67" t="e">
        <f>IF(AD76&lt;'DADOS DOS EMPREENDIMENTOS'!AF$11,0,IF(AD76='DADOS DOS EMPREENDIMENTOS'!AF$11,SUM(AF$41:AF76)*(1-'DADOS DOS EMPREENDIMENTOS'!#REF!-'DADOS DOS EMPREENDIMENTOS'!#REF!)+'DADOS DOS EMPREENDIMENTOS'!#REF!,IF(AD76='DADOS DOS EMPREENDIMENTOS'!#REF!,'DADOS DOS EMPREENDIMENTOS'!#REF!,AF76*(1-'DADOS DOS EMPREENDIMENTOS'!#REF!-'DADOS DOS EMPREENDIMENTOS'!#REF!))))</f>
        <v>#REF!</v>
      </c>
      <c r="AI76" s="52">
        <v>35</v>
      </c>
      <c r="AJ76" s="31">
        <v>41000</v>
      </c>
      <c r="AK76" s="9">
        <v>0</v>
      </c>
      <c r="AL76" s="67" t="e">
        <f>IF(AI76&lt;'DADOS DOS EMPREENDIMENTOS'!AK$11,0,IF(AI76='DADOS DOS EMPREENDIMENTOS'!AK$11,SUM(AK$41:AK76)*(1-'DADOS DOS EMPREENDIMENTOS'!#REF!-'DADOS DOS EMPREENDIMENTOS'!#REF!)+'DADOS DOS EMPREENDIMENTOS'!#REF!,IF(AI76='DADOS DOS EMPREENDIMENTOS'!#REF!,'DADOS DOS EMPREENDIMENTOS'!#REF!,AK76*(1-'DADOS DOS EMPREENDIMENTOS'!#REF!-'DADOS DOS EMPREENDIMENTOS'!#REF!))))</f>
        <v>#REF!</v>
      </c>
      <c r="AN76" s="52">
        <v>35</v>
      </c>
      <c r="AO76" s="31">
        <v>41000</v>
      </c>
      <c r="AP76" s="9">
        <v>0</v>
      </c>
      <c r="AQ76" s="67" t="e">
        <f>IF(AN76&lt;'DADOS DOS EMPREENDIMENTOS'!AP$11,0,IF(AN76='DADOS DOS EMPREENDIMENTOS'!AP$11,SUM(AP$41:AP76)*(1-'DADOS DOS EMPREENDIMENTOS'!#REF!-'DADOS DOS EMPREENDIMENTOS'!#REF!)+'DADOS DOS EMPREENDIMENTOS'!#REF!,IF(AN76='DADOS DOS EMPREENDIMENTOS'!#REF!,'DADOS DOS EMPREENDIMENTOS'!#REF!,AP76*(1-'DADOS DOS EMPREENDIMENTOS'!#REF!-'DADOS DOS EMPREENDIMENTOS'!#REF!))))</f>
        <v>#REF!</v>
      </c>
      <c r="AS76" s="52">
        <v>35</v>
      </c>
      <c r="AT76" s="31">
        <v>41000</v>
      </c>
      <c r="AU76" s="9">
        <v>0</v>
      </c>
      <c r="AV76" s="67" t="e">
        <f>IF(AS76&lt;'DADOS DOS EMPREENDIMENTOS'!AU$11,0,IF(AS76='DADOS DOS EMPREENDIMENTOS'!AU$11,SUM(AU$41:AU76)*(1-'DADOS DOS EMPREENDIMENTOS'!#REF!-'DADOS DOS EMPREENDIMENTOS'!#REF!)+'DADOS DOS EMPREENDIMENTOS'!#REF!,IF(AS76='DADOS DOS EMPREENDIMENTOS'!#REF!,'DADOS DOS EMPREENDIMENTOS'!#REF!,AU76*(1-'DADOS DOS EMPREENDIMENTOS'!#REF!-'DADOS DOS EMPREENDIMENTOS'!#REF!))))</f>
        <v>#REF!</v>
      </c>
      <c r="AX76" s="52">
        <v>35</v>
      </c>
      <c r="AY76" s="31">
        <v>41000</v>
      </c>
      <c r="AZ76" s="9">
        <v>0</v>
      </c>
      <c r="BA76" s="67" t="e">
        <f>IF(AX76&lt;'DADOS DOS EMPREENDIMENTOS'!AZ$11,0,IF(AX76='DADOS DOS EMPREENDIMENTOS'!AZ$11,SUM(AZ$41:AZ76)*(1-'DADOS DOS EMPREENDIMENTOS'!#REF!-'DADOS DOS EMPREENDIMENTOS'!#REF!)+'DADOS DOS EMPREENDIMENTOS'!#REF!,IF(AX76='DADOS DOS EMPREENDIMENTOS'!#REF!,'DADOS DOS EMPREENDIMENTOS'!#REF!,AZ76*(1-'DADOS DOS EMPREENDIMENTOS'!#REF!-'DADOS DOS EMPREENDIMENTOS'!#REF!))))</f>
        <v>#REF!</v>
      </c>
      <c r="BC76" s="52">
        <v>35</v>
      </c>
      <c r="BD76" s="31">
        <v>41000</v>
      </c>
      <c r="BE76" s="9">
        <v>0</v>
      </c>
      <c r="BF76" s="67" t="e">
        <f>IF(BC76&lt;'DADOS DOS EMPREENDIMENTOS'!BE$11,0,IF(BC76='DADOS DOS EMPREENDIMENTOS'!BE$11,SUM(BE$41:BE76)*(1-'DADOS DOS EMPREENDIMENTOS'!#REF!-'DADOS DOS EMPREENDIMENTOS'!#REF!)+'DADOS DOS EMPREENDIMENTOS'!#REF!,IF(BC76='DADOS DOS EMPREENDIMENTOS'!#REF!,'DADOS DOS EMPREENDIMENTOS'!#REF!,BE76*(1-'DADOS DOS EMPREENDIMENTOS'!#REF!-'DADOS DOS EMPREENDIMENTOS'!#REF!))))</f>
        <v>#REF!</v>
      </c>
      <c r="BH76" s="52">
        <v>35</v>
      </c>
      <c r="BI76" s="31">
        <v>41000</v>
      </c>
      <c r="BJ76" s="9">
        <v>0</v>
      </c>
      <c r="BK76" s="67" t="e">
        <f>IF(BH76&lt;'DADOS DOS EMPREENDIMENTOS'!BJ$11,0,IF(BH76='DADOS DOS EMPREENDIMENTOS'!BJ$11,SUM(BJ$41:BJ76)*(1-'DADOS DOS EMPREENDIMENTOS'!#REF!-'DADOS DOS EMPREENDIMENTOS'!#REF!)+'DADOS DOS EMPREENDIMENTOS'!#REF!,IF(BH76='DADOS DOS EMPREENDIMENTOS'!#REF!,'DADOS DOS EMPREENDIMENTOS'!#REF!,BJ76*(1-'DADOS DOS EMPREENDIMENTOS'!#REF!-'DADOS DOS EMPREENDIMENTOS'!#REF!))))</f>
        <v>#REF!</v>
      </c>
      <c r="BM76" s="52">
        <v>35</v>
      </c>
      <c r="BN76" s="31">
        <v>41000</v>
      </c>
      <c r="BO76" s="9">
        <v>0</v>
      </c>
      <c r="BP76" s="67" t="e">
        <f>IF(BM76&lt;'DADOS DOS EMPREENDIMENTOS'!BO$11,0,IF(BM76='DADOS DOS EMPREENDIMENTOS'!BO$11,SUM(BO$41:BO76)*(1-'DADOS DOS EMPREENDIMENTOS'!#REF!-'DADOS DOS EMPREENDIMENTOS'!#REF!)+'DADOS DOS EMPREENDIMENTOS'!#REF!,IF(BM76='DADOS DOS EMPREENDIMENTOS'!BO$12,'DADOS DOS EMPREENDIMENTOS'!#REF!,BO76*(1-'DADOS DOS EMPREENDIMENTOS'!#REF!-'DADOS DOS EMPREENDIMENTOS'!#REF!))))</f>
        <v>#REF!</v>
      </c>
      <c r="BR76" s="52">
        <v>35</v>
      </c>
      <c r="BS76" s="31">
        <v>41000</v>
      </c>
      <c r="BT76" s="9">
        <v>0</v>
      </c>
      <c r="BU76" s="67" t="e">
        <f>IF(BR76&lt;'DADOS DOS EMPREENDIMENTOS'!BT$11,0,IF(BR76='DADOS DOS EMPREENDIMENTOS'!BT$11,SUM(BT$41:BT76)*(1-'DADOS DOS EMPREENDIMENTOS'!#REF!-'DADOS DOS EMPREENDIMENTOS'!#REF!)+'DADOS DOS EMPREENDIMENTOS'!#REF!,IF(BR76='DADOS DOS EMPREENDIMENTOS'!BT$12,'DADOS DOS EMPREENDIMENTOS'!#REF!,BT76*(1-'DADOS DOS EMPREENDIMENTOS'!#REF!-'DADOS DOS EMPREENDIMENTOS'!#REF!))))</f>
        <v>#REF!</v>
      </c>
      <c r="BW76" s="52">
        <v>35</v>
      </c>
      <c r="BX76" s="31">
        <v>41000</v>
      </c>
      <c r="BY76" s="9">
        <v>0</v>
      </c>
      <c r="BZ76" s="67" t="e">
        <f>IF(BW76&lt;'DADOS DOS EMPREENDIMENTOS'!BY$11,0,IF(BW76='DADOS DOS EMPREENDIMENTOS'!BY$11,SUM(BY$41:BY76)*(1-'DADOS DOS EMPREENDIMENTOS'!#REF!-'DADOS DOS EMPREENDIMENTOS'!#REF!)+'DADOS DOS EMPREENDIMENTOS'!#REF!,IF(BW76='DADOS DOS EMPREENDIMENTOS'!BY$12,'DADOS DOS EMPREENDIMENTOS'!#REF!,BY76*(1-'DADOS DOS EMPREENDIMENTOS'!#REF!-'DADOS DOS EMPREENDIMENTOS'!#REF!))))</f>
        <v>#REF!</v>
      </c>
      <c r="CB76" s="52">
        <v>35</v>
      </c>
      <c r="CC76" s="31">
        <v>41000</v>
      </c>
      <c r="CD76" s="9">
        <v>0</v>
      </c>
      <c r="CE76" s="67" t="e">
        <f>IF(CB76&lt;'DADOS DOS EMPREENDIMENTOS'!CD$11,0,IF(CB76='DADOS DOS EMPREENDIMENTOS'!CD$11,SUM(CD$41:CD76)*(1-'DADOS DOS EMPREENDIMENTOS'!#REF!-'DADOS DOS EMPREENDIMENTOS'!#REF!)+'DADOS DOS EMPREENDIMENTOS'!#REF!,IF(CB76='DADOS DOS EMPREENDIMENTOS'!CD$12,'DADOS DOS EMPREENDIMENTOS'!#REF!,CD76*(1-'DADOS DOS EMPREENDIMENTOS'!#REF!-'DADOS DOS EMPREENDIMENTOS'!#REF!))))</f>
        <v>#REF!</v>
      </c>
      <c r="CG76" s="52"/>
      <c r="CH76" s="31"/>
      <c r="CI76" s="9"/>
      <c r="CJ76" s="67"/>
    </row>
    <row r="77" spans="15:88" ht="12.75" customHeight="1" thickBot="1" x14ac:dyDescent="0.25">
      <c r="O77" s="45">
        <v>62</v>
      </c>
      <c r="P77" s="607" t="s">
        <v>373</v>
      </c>
      <c r="Q77" s="642">
        <f>VLOOKUP(P77,Apoio!C:E,2,0)</f>
        <v>240000</v>
      </c>
      <c r="R77" s="609">
        <v>240000</v>
      </c>
      <c r="S77" s="359">
        <v>5</v>
      </c>
      <c r="T77" s="52">
        <v>36</v>
      </c>
      <c r="U77" s="31"/>
      <c r="V77" s="9"/>
      <c r="W77" s="67"/>
      <c r="Y77" s="52">
        <v>36</v>
      </c>
      <c r="Z77" s="31"/>
      <c r="AA77" s="9"/>
      <c r="AB77" s="67"/>
      <c r="AD77" s="52">
        <v>36</v>
      </c>
      <c r="AE77" s="31">
        <v>41030</v>
      </c>
      <c r="AF77" s="9">
        <v>0</v>
      </c>
      <c r="AG77" s="67" t="e">
        <f>IF(AD77&lt;'DADOS DOS EMPREENDIMENTOS'!AF$11,0,IF(AD77='DADOS DOS EMPREENDIMENTOS'!AF$11,SUM(AF$41:AF77)*(1-'DADOS DOS EMPREENDIMENTOS'!#REF!-'DADOS DOS EMPREENDIMENTOS'!#REF!)+'DADOS DOS EMPREENDIMENTOS'!#REF!,IF(AD77='DADOS DOS EMPREENDIMENTOS'!#REF!,'DADOS DOS EMPREENDIMENTOS'!#REF!,AF77*(1-'DADOS DOS EMPREENDIMENTOS'!#REF!-'DADOS DOS EMPREENDIMENTOS'!#REF!))))</f>
        <v>#REF!</v>
      </c>
      <c r="AI77" s="52">
        <v>36</v>
      </c>
      <c r="AJ77" s="31">
        <v>41030</v>
      </c>
      <c r="AK77" s="9">
        <v>0</v>
      </c>
      <c r="AL77" s="67" t="e">
        <f>IF(AI77&lt;'DADOS DOS EMPREENDIMENTOS'!AK$11,0,IF(AI77='DADOS DOS EMPREENDIMENTOS'!AK$11,SUM(AK$41:AK77)*(1-'DADOS DOS EMPREENDIMENTOS'!#REF!-'DADOS DOS EMPREENDIMENTOS'!#REF!)+'DADOS DOS EMPREENDIMENTOS'!#REF!,IF(AI77='DADOS DOS EMPREENDIMENTOS'!#REF!,'DADOS DOS EMPREENDIMENTOS'!#REF!,AK77*(1-'DADOS DOS EMPREENDIMENTOS'!#REF!-'DADOS DOS EMPREENDIMENTOS'!#REF!))))</f>
        <v>#REF!</v>
      </c>
      <c r="AN77" s="52">
        <v>36</v>
      </c>
      <c r="AO77" s="31">
        <v>41030</v>
      </c>
      <c r="AP77" s="9">
        <v>0</v>
      </c>
      <c r="AQ77" s="67" t="e">
        <f>IF(AN77&lt;'DADOS DOS EMPREENDIMENTOS'!AP$11,0,IF(AN77='DADOS DOS EMPREENDIMENTOS'!AP$11,SUM(AP$41:AP77)*(1-'DADOS DOS EMPREENDIMENTOS'!#REF!-'DADOS DOS EMPREENDIMENTOS'!#REF!)+'DADOS DOS EMPREENDIMENTOS'!#REF!,IF(AN77='DADOS DOS EMPREENDIMENTOS'!#REF!,'DADOS DOS EMPREENDIMENTOS'!#REF!,AP77*(1-'DADOS DOS EMPREENDIMENTOS'!#REF!-'DADOS DOS EMPREENDIMENTOS'!#REF!))))</f>
        <v>#REF!</v>
      </c>
      <c r="AS77" s="52">
        <v>36</v>
      </c>
      <c r="AT77" s="31">
        <v>41030</v>
      </c>
      <c r="AU77" s="9">
        <v>0</v>
      </c>
      <c r="AV77" s="67" t="e">
        <f>IF(AS77&lt;'DADOS DOS EMPREENDIMENTOS'!AU$11,0,IF(AS77='DADOS DOS EMPREENDIMENTOS'!AU$11,SUM(AU$41:AU77)*(1-'DADOS DOS EMPREENDIMENTOS'!#REF!-'DADOS DOS EMPREENDIMENTOS'!#REF!)+'DADOS DOS EMPREENDIMENTOS'!#REF!,IF(AS77='DADOS DOS EMPREENDIMENTOS'!#REF!,'DADOS DOS EMPREENDIMENTOS'!#REF!,AU77*(1-'DADOS DOS EMPREENDIMENTOS'!#REF!-'DADOS DOS EMPREENDIMENTOS'!#REF!))))</f>
        <v>#REF!</v>
      </c>
      <c r="AX77" s="52">
        <v>36</v>
      </c>
      <c r="AY77" s="31">
        <v>41030</v>
      </c>
      <c r="AZ77" s="9">
        <v>0</v>
      </c>
      <c r="BA77" s="67" t="e">
        <f>IF(AX77&lt;'DADOS DOS EMPREENDIMENTOS'!AZ$11,0,IF(AX77='DADOS DOS EMPREENDIMENTOS'!AZ$11,SUM(AZ$41:AZ77)*(1-'DADOS DOS EMPREENDIMENTOS'!#REF!-'DADOS DOS EMPREENDIMENTOS'!#REF!)+'DADOS DOS EMPREENDIMENTOS'!#REF!,IF(AX77='DADOS DOS EMPREENDIMENTOS'!#REF!,'DADOS DOS EMPREENDIMENTOS'!#REF!,AZ77*(1-'DADOS DOS EMPREENDIMENTOS'!#REF!-'DADOS DOS EMPREENDIMENTOS'!#REF!))))</f>
        <v>#REF!</v>
      </c>
      <c r="BC77" s="52">
        <v>36</v>
      </c>
      <c r="BD77" s="31">
        <v>41030</v>
      </c>
      <c r="BE77" s="9">
        <v>0</v>
      </c>
      <c r="BF77" s="67" t="e">
        <f>IF(BC77&lt;'DADOS DOS EMPREENDIMENTOS'!BE$11,0,IF(BC77='DADOS DOS EMPREENDIMENTOS'!BE$11,SUM(BE$41:BE77)*(1-'DADOS DOS EMPREENDIMENTOS'!#REF!-'DADOS DOS EMPREENDIMENTOS'!#REF!)+'DADOS DOS EMPREENDIMENTOS'!#REF!,IF(BC77='DADOS DOS EMPREENDIMENTOS'!#REF!,'DADOS DOS EMPREENDIMENTOS'!#REF!,BE77*(1-'DADOS DOS EMPREENDIMENTOS'!#REF!-'DADOS DOS EMPREENDIMENTOS'!#REF!))))</f>
        <v>#REF!</v>
      </c>
      <c r="BH77" s="52">
        <v>36</v>
      </c>
      <c r="BI77" s="31">
        <v>41030</v>
      </c>
      <c r="BJ77" s="9">
        <v>0</v>
      </c>
      <c r="BK77" s="67" t="e">
        <f>IF(BH77&lt;'DADOS DOS EMPREENDIMENTOS'!BJ$11,0,IF(BH77='DADOS DOS EMPREENDIMENTOS'!BJ$11,SUM(BJ$41:BJ77)*(1-'DADOS DOS EMPREENDIMENTOS'!#REF!-'DADOS DOS EMPREENDIMENTOS'!#REF!)+'DADOS DOS EMPREENDIMENTOS'!#REF!,IF(BH77='DADOS DOS EMPREENDIMENTOS'!#REF!,'DADOS DOS EMPREENDIMENTOS'!#REF!,BJ77*(1-'DADOS DOS EMPREENDIMENTOS'!#REF!-'DADOS DOS EMPREENDIMENTOS'!#REF!))))</f>
        <v>#REF!</v>
      </c>
      <c r="BM77" s="52">
        <v>36</v>
      </c>
      <c r="BN77" s="31">
        <v>41030</v>
      </c>
      <c r="BO77" s="9">
        <v>0</v>
      </c>
      <c r="BP77" s="67" t="e">
        <f>IF(BM77&lt;'DADOS DOS EMPREENDIMENTOS'!BO$11,0,IF(BM77='DADOS DOS EMPREENDIMENTOS'!BO$11,SUM(BO$41:BO77)*(1-'DADOS DOS EMPREENDIMENTOS'!#REF!-'DADOS DOS EMPREENDIMENTOS'!#REF!)+'DADOS DOS EMPREENDIMENTOS'!#REF!,IF(BM77='DADOS DOS EMPREENDIMENTOS'!BO$12,'DADOS DOS EMPREENDIMENTOS'!#REF!,BO77*(1-'DADOS DOS EMPREENDIMENTOS'!#REF!-'DADOS DOS EMPREENDIMENTOS'!#REF!))))</f>
        <v>#REF!</v>
      </c>
      <c r="BR77" s="52">
        <v>36</v>
      </c>
      <c r="BS77" s="31">
        <v>41030</v>
      </c>
      <c r="BT77" s="9">
        <v>0</v>
      </c>
      <c r="BU77" s="67" t="e">
        <f>IF(BR77&lt;'DADOS DOS EMPREENDIMENTOS'!BT$11,0,IF(BR77='DADOS DOS EMPREENDIMENTOS'!BT$11,SUM(BT$41:BT77)*(1-'DADOS DOS EMPREENDIMENTOS'!#REF!-'DADOS DOS EMPREENDIMENTOS'!#REF!)+'DADOS DOS EMPREENDIMENTOS'!#REF!,IF(BR77='DADOS DOS EMPREENDIMENTOS'!BT$12,'DADOS DOS EMPREENDIMENTOS'!#REF!,BT77*(1-'DADOS DOS EMPREENDIMENTOS'!#REF!-'DADOS DOS EMPREENDIMENTOS'!#REF!))))</f>
        <v>#REF!</v>
      </c>
      <c r="BW77" s="52">
        <v>36</v>
      </c>
      <c r="BX77" s="31">
        <v>41030</v>
      </c>
      <c r="BY77" s="9">
        <v>0</v>
      </c>
      <c r="BZ77" s="67" t="e">
        <f>IF(BW77&lt;'DADOS DOS EMPREENDIMENTOS'!BY$11,0,IF(BW77='DADOS DOS EMPREENDIMENTOS'!BY$11,SUM(BY$41:BY77)*(1-'DADOS DOS EMPREENDIMENTOS'!#REF!-'DADOS DOS EMPREENDIMENTOS'!#REF!)+'DADOS DOS EMPREENDIMENTOS'!#REF!,IF(BW77='DADOS DOS EMPREENDIMENTOS'!BY$12,'DADOS DOS EMPREENDIMENTOS'!#REF!,BY77*(1-'DADOS DOS EMPREENDIMENTOS'!#REF!-'DADOS DOS EMPREENDIMENTOS'!#REF!))))</f>
        <v>#REF!</v>
      </c>
      <c r="CB77" s="52">
        <v>36</v>
      </c>
      <c r="CC77" s="31">
        <v>41030</v>
      </c>
      <c r="CD77" s="9">
        <v>0</v>
      </c>
      <c r="CE77" s="67" t="e">
        <f>IF(CB77&lt;'DADOS DOS EMPREENDIMENTOS'!CD$11,0,IF(CB77='DADOS DOS EMPREENDIMENTOS'!CD$11,SUM(CD$41:CD77)*(1-'DADOS DOS EMPREENDIMENTOS'!#REF!-'DADOS DOS EMPREENDIMENTOS'!#REF!)+'DADOS DOS EMPREENDIMENTOS'!#REF!,IF(CB77='DADOS DOS EMPREENDIMENTOS'!CD$12,'DADOS DOS EMPREENDIMENTOS'!#REF!,CD77*(1-'DADOS DOS EMPREENDIMENTOS'!#REF!-'DADOS DOS EMPREENDIMENTOS'!#REF!))))</f>
        <v>#REF!</v>
      </c>
      <c r="CG77" s="52"/>
      <c r="CH77" s="31"/>
      <c r="CI77" s="9"/>
      <c r="CJ77" s="67"/>
    </row>
    <row r="78" spans="15:88" ht="12.75" customHeight="1" thickBot="1" x14ac:dyDescent="0.25">
      <c r="O78" s="43">
        <v>63</v>
      </c>
      <c r="P78" s="607" t="s">
        <v>374</v>
      </c>
      <c r="Q78" s="642">
        <f>VLOOKUP(P78,Apoio!C:E,2,0)</f>
        <v>240000</v>
      </c>
      <c r="R78" s="609">
        <v>240000</v>
      </c>
      <c r="S78" s="359">
        <v>5</v>
      </c>
      <c r="T78" s="52">
        <v>37</v>
      </c>
      <c r="U78" s="31"/>
      <c r="V78" s="9"/>
      <c r="W78" s="67"/>
      <c r="Y78" s="52">
        <v>37</v>
      </c>
      <c r="Z78" s="31"/>
      <c r="AA78" s="9"/>
      <c r="AB78" s="67"/>
      <c r="AD78" s="52">
        <v>37</v>
      </c>
      <c r="AE78" s="31">
        <v>41061</v>
      </c>
      <c r="AF78" s="9">
        <v>0</v>
      </c>
      <c r="AG78" s="67" t="e">
        <f>IF(AD78&lt;'DADOS DOS EMPREENDIMENTOS'!AF$11,0,IF(AD78='DADOS DOS EMPREENDIMENTOS'!AF$11,SUM(AF$41:AF78)*(1-'DADOS DOS EMPREENDIMENTOS'!#REF!-'DADOS DOS EMPREENDIMENTOS'!#REF!)+'DADOS DOS EMPREENDIMENTOS'!#REF!,IF(AD78='DADOS DOS EMPREENDIMENTOS'!#REF!,'DADOS DOS EMPREENDIMENTOS'!#REF!,AF78*(1-'DADOS DOS EMPREENDIMENTOS'!#REF!-'DADOS DOS EMPREENDIMENTOS'!#REF!))))</f>
        <v>#REF!</v>
      </c>
      <c r="AI78" s="52">
        <v>37</v>
      </c>
      <c r="AJ78" s="31">
        <v>41061</v>
      </c>
      <c r="AK78" s="9">
        <v>0</v>
      </c>
      <c r="AL78" s="67" t="e">
        <f>IF(AI78&lt;'DADOS DOS EMPREENDIMENTOS'!AK$11,0,IF(AI78='DADOS DOS EMPREENDIMENTOS'!AK$11,SUM(AK$41:AK78)*(1-'DADOS DOS EMPREENDIMENTOS'!#REF!-'DADOS DOS EMPREENDIMENTOS'!#REF!)+'DADOS DOS EMPREENDIMENTOS'!#REF!,IF(AI78='DADOS DOS EMPREENDIMENTOS'!#REF!,'DADOS DOS EMPREENDIMENTOS'!#REF!,AK78*(1-'DADOS DOS EMPREENDIMENTOS'!#REF!-'DADOS DOS EMPREENDIMENTOS'!#REF!))))</f>
        <v>#REF!</v>
      </c>
      <c r="AN78" s="52">
        <v>37</v>
      </c>
      <c r="AO78" s="31">
        <v>41061</v>
      </c>
      <c r="AP78" s="9">
        <v>0</v>
      </c>
      <c r="AQ78" s="67" t="e">
        <f>IF(AN78&lt;'DADOS DOS EMPREENDIMENTOS'!AP$11,0,IF(AN78='DADOS DOS EMPREENDIMENTOS'!AP$11,SUM(AP$41:AP78)*(1-'DADOS DOS EMPREENDIMENTOS'!#REF!-'DADOS DOS EMPREENDIMENTOS'!#REF!)+'DADOS DOS EMPREENDIMENTOS'!#REF!,IF(AN78='DADOS DOS EMPREENDIMENTOS'!#REF!,'DADOS DOS EMPREENDIMENTOS'!#REF!,AP78*(1-'DADOS DOS EMPREENDIMENTOS'!#REF!-'DADOS DOS EMPREENDIMENTOS'!#REF!))))</f>
        <v>#REF!</v>
      </c>
      <c r="AS78" s="52">
        <v>37</v>
      </c>
      <c r="AT78" s="31">
        <v>41061</v>
      </c>
      <c r="AU78" s="9">
        <v>0</v>
      </c>
      <c r="AV78" s="67" t="e">
        <f>IF(AS78&lt;'DADOS DOS EMPREENDIMENTOS'!AU$11,0,IF(AS78='DADOS DOS EMPREENDIMENTOS'!AU$11,SUM(AU$41:AU78)*(1-'DADOS DOS EMPREENDIMENTOS'!#REF!-'DADOS DOS EMPREENDIMENTOS'!#REF!)+'DADOS DOS EMPREENDIMENTOS'!#REF!,IF(AS78='DADOS DOS EMPREENDIMENTOS'!#REF!,'DADOS DOS EMPREENDIMENTOS'!#REF!,AU78*(1-'DADOS DOS EMPREENDIMENTOS'!#REF!-'DADOS DOS EMPREENDIMENTOS'!#REF!))))</f>
        <v>#REF!</v>
      </c>
      <c r="AX78" s="52">
        <v>37</v>
      </c>
      <c r="AY78" s="31">
        <v>41061</v>
      </c>
      <c r="AZ78" s="9">
        <v>0</v>
      </c>
      <c r="BA78" s="67" t="e">
        <f>IF(AX78&lt;'DADOS DOS EMPREENDIMENTOS'!AZ$11,0,IF(AX78='DADOS DOS EMPREENDIMENTOS'!AZ$11,SUM(AZ$41:AZ78)*(1-'DADOS DOS EMPREENDIMENTOS'!#REF!-'DADOS DOS EMPREENDIMENTOS'!#REF!)+'DADOS DOS EMPREENDIMENTOS'!#REF!,IF(AX78='DADOS DOS EMPREENDIMENTOS'!#REF!,'DADOS DOS EMPREENDIMENTOS'!#REF!,AZ78*(1-'DADOS DOS EMPREENDIMENTOS'!#REF!-'DADOS DOS EMPREENDIMENTOS'!#REF!))))</f>
        <v>#REF!</v>
      </c>
      <c r="BC78" s="52">
        <v>37</v>
      </c>
      <c r="BD78" s="31">
        <v>41061</v>
      </c>
      <c r="BE78" s="9">
        <v>0</v>
      </c>
      <c r="BF78" s="67" t="e">
        <f>IF(BC78&lt;'DADOS DOS EMPREENDIMENTOS'!BE$11,0,IF(BC78='DADOS DOS EMPREENDIMENTOS'!BE$11,SUM(BE$41:BE78)*(1-'DADOS DOS EMPREENDIMENTOS'!#REF!-'DADOS DOS EMPREENDIMENTOS'!#REF!)+'DADOS DOS EMPREENDIMENTOS'!#REF!,IF(BC78='DADOS DOS EMPREENDIMENTOS'!#REF!,'DADOS DOS EMPREENDIMENTOS'!#REF!,BE78*(1-'DADOS DOS EMPREENDIMENTOS'!#REF!-'DADOS DOS EMPREENDIMENTOS'!#REF!))))</f>
        <v>#REF!</v>
      </c>
      <c r="BH78" s="52">
        <v>37</v>
      </c>
      <c r="BI78" s="31">
        <v>41061</v>
      </c>
      <c r="BJ78" s="9">
        <v>0</v>
      </c>
      <c r="BK78" s="67" t="e">
        <f>IF(BH78&lt;'DADOS DOS EMPREENDIMENTOS'!BJ$11,0,IF(BH78='DADOS DOS EMPREENDIMENTOS'!BJ$11,SUM(BJ$41:BJ78)*(1-'DADOS DOS EMPREENDIMENTOS'!#REF!-'DADOS DOS EMPREENDIMENTOS'!#REF!)+'DADOS DOS EMPREENDIMENTOS'!#REF!,IF(BH78='DADOS DOS EMPREENDIMENTOS'!#REF!,'DADOS DOS EMPREENDIMENTOS'!#REF!,BJ78*(1-'DADOS DOS EMPREENDIMENTOS'!#REF!-'DADOS DOS EMPREENDIMENTOS'!#REF!))))</f>
        <v>#REF!</v>
      </c>
      <c r="BM78" s="52">
        <v>37</v>
      </c>
      <c r="BN78" s="31">
        <v>41061</v>
      </c>
      <c r="BO78" s="9">
        <v>0</v>
      </c>
      <c r="BP78" s="67" t="e">
        <f>IF(BM78&lt;'DADOS DOS EMPREENDIMENTOS'!BO$11,0,IF(BM78='DADOS DOS EMPREENDIMENTOS'!BO$11,SUM(BO$41:BO78)*(1-'DADOS DOS EMPREENDIMENTOS'!#REF!-'DADOS DOS EMPREENDIMENTOS'!#REF!)+'DADOS DOS EMPREENDIMENTOS'!#REF!,IF(BM78='DADOS DOS EMPREENDIMENTOS'!BO$12,'DADOS DOS EMPREENDIMENTOS'!#REF!,BO78*(1-'DADOS DOS EMPREENDIMENTOS'!#REF!-'DADOS DOS EMPREENDIMENTOS'!#REF!))))</f>
        <v>#REF!</v>
      </c>
      <c r="BR78" s="52">
        <v>37</v>
      </c>
      <c r="BS78" s="31">
        <v>41061</v>
      </c>
      <c r="BT78" s="9">
        <v>0</v>
      </c>
      <c r="BU78" s="67" t="e">
        <f>IF(BR78&lt;'DADOS DOS EMPREENDIMENTOS'!BT$11,0,IF(BR78='DADOS DOS EMPREENDIMENTOS'!BT$11,SUM(BT$41:BT78)*(1-'DADOS DOS EMPREENDIMENTOS'!#REF!-'DADOS DOS EMPREENDIMENTOS'!#REF!)+'DADOS DOS EMPREENDIMENTOS'!#REF!,IF(BR78='DADOS DOS EMPREENDIMENTOS'!BT$12,'DADOS DOS EMPREENDIMENTOS'!#REF!,BT78*(1-'DADOS DOS EMPREENDIMENTOS'!#REF!-'DADOS DOS EMPREENDIMENTOS'!#REF!))))</f>
        <v>#REF!</v>
      </c>
      <c r="BW78" s="52">
        <v>37</v>
      </c>
      <c r="BX78" s="31">
        <v>41061</v>
      </c>
      <c r="BY78" s="9">
        <v>0</v>
      </c>
      <c r="BZ78" s="67" t="e">
        <f>IF(BW78&lt;'DADOS DOS EMPREENDIMENTOS'!BY$11,0,IF(BW78='DADOS DOS EMPREENDIMENTOS'!BY$11,SUM(BY$41:BY78)*(1-'DADOS DOS EMPREENDIMENTOS'!#REF!-'DADOS DOS EMPREENDIMENTOS'!#REF!)+'DADOS DOS EMPREENDIMENTOS'!#REF!,IF(BW78='DADOS DOS EMPREENDIMENTOS'!BY$12,'DADOS DOS EMPREENDIMENTOS'!#REF!,BY78*(1-'DADOS DOS EMPREENDIMENTOS'!#REF!-'DADOS DOS EMPREENDIMENTOS'!#REF!))))</f>
        <v>#REF!</v>
      </c>
      <c r="CB78" s="52">
        <v>37</v>
      </c>
      <c r="CC78" s="31">
        <v>41061</v>
      </c>
      <c r="CD78" s="9">
        <v>0</v>
      </c>
      <c r="CE78" s="67" t="e">
        <f>IF(CB78&lt;'DADOS DOS EMPREENDIMENTOS'!CD$11,0,IF(CB78='DADOS DOS EMPREENDIMENTOS'!CD$11,SUM(CD$41:CD78)*(1-'DADOS DOS EMPREENDIMENTOS'!#REF!-'DADOS DOS EMPREENDIMENTOS'!#REF!)+'DADOS DOS EMPREENDIMENTOS'!#REF!,IF(CB78='DADOS DOS EMPREENDIMENTOS'!CD$12,'DADOS DOS EMPREENDIMENTOS'!#REF!,CD78*(1-'DADOS DOS EMPREENDIMENTOS'!#REF!-'DADOS DOS EMPREENDIMENTOS'!#REF!))))</f>
        <v>#REF!</v>
      </c>
      <c r="CG78" s="52"/>
      <c r="CH78" s="31"/>
      <c r="CI78" s="9"/>
      <c r="CJ78" s="67"/>
    </row>
    <row r="79" spans="15:88" ht="12.75" customHeight="1" thickBot="1" x14ac:dyDescent="0.25">
      <c r="O79" s="45">
        <v>64</v>
      </c>
      <c r="P79" s="607" t="s">
        <v>375</v>
      </c>
      <c r="Q79" s="642">
        <f>VLOOKUP(P79,Apoio!C:E,2,0)</f>
        <v>219040</v>
      </c>
      <c r="R79" s="609">
        <v>216000</v>
      </c>
      <c r="S79" s="359">
        <v>5</v>
      </c>
      <c r="T79" s="52">
        <v>38</v>
      </c>
      <c r="U79" s="31"/>
      <c r="V79" s="9"/>
      <c r="W79" s="67"/>
      <c r="Y79" s="52">
        <v>38</v>
      </c>
      <c r="Z79" s="31"/>
      <c r="AA79" s="9"/>
      <c r="AB79" s="67"/>
      <c r="AD79" s="52">
        <v>38</v>
      </c>
      <c r="AE79" s="31">
        <v>41091</v>
      </c>
      <c r="AF79" s="9">
        <v>0</v>
      </c>
      <c r="AG79" s="67" t="e">
        <f>IF(AD79&lt;'DADOS DOS EMPREENDIMENTOS'!AF$11,0,IF(AD79='DADOS DOS EMPREENDIMENTOS'!AF$11,SUM(AF$41:AF79)*(1-'DADOS DOS EMPREENDIMENTOS'!#REF!-'DADOS DOS EMPREENDIMENTOS'!#REF!)+'DADOS DOS EMPREENDIMENTOS'!#REF!,IF(AD79='DADOS DOS EMPREENDIMENTOS'!#REF!,'DADOS DOS EMPREENDIMENTOS'!#REF!,AF79*(1-'DADOS DOS EMPREENDIMENTOS'!#REF!-'DADOS DOS EMPREENDIMENTOS'!#REF!))))</f>
        <v>#REF!</v>
      </c>
      <c r="AI79" s="52">
        <v>38</v>
      </c>
      <c r="AJ79" s="31">
        <v>41091</v>
      </c>
      <c r="AK79" s="9">
        <v>0</v>
      </c>
      <c r="AL79" s="67" t="e">
        <f>IF(AI79&lt;'DADOS DOS EMPREENDIMENTOS'!AK$11,0,IF(AI79='DADOS DOS EMPREENDIMENTOS'!AK$11,SUM(AK$41:AK79)*(1-'DADOS DOS EMPREENDIMENTOS'!#REF!-'DADOS DOS EMPREENDIMENTOS'!#REF!)+'DADOS DOS EMPREENDIMENTOS'!#REF!,IF(AI79='DADOS DOS EMPREENDIMENTOS'!#REF!,'DADOS DOS EMPREENDIMENTOS'!#REF!,AK79*(1-'DADOS DOS EMPREENDIMENTOS'!#REF!-'DADOS DOS EMPREENDIMENTOS'!#REF!))))</f>
        <v>#REF!</v>
      </c>
      <c r="AN79" s="52">
        <v>38</v>
      </c>
      <c r="AO79" s="31">
        <v>41091</v>
      </c>
      <c r="AP79" s="9">
        <v>0</v>
      </c>
      <c r="AQ79" s="67" t="e">
        <f>IF(AN79&lt;'DADOS DOS EMPREENDIMENTOS'!AP$11,0,IF(AN79='DADOS DOS EMPREENDIMENTOS'!AP$11,SUM(AP$41:AP79)*(1-'DADOS DOS EMPREENDIMENTOS'!#REF!-'DADOS DOS EMPREENDIMENTOS'!#REF!)+'DADOS DOS EMPREENDIMENTOS'!#REF!,IF(AN79='DADOS DOS EMPREENDIMENTOS'!#REF!,'DADOS DOS EMPREENDIMENTOS'!#REF!,AP79*(1-'DADOS DOS EMPREENDIMENTOS'!#REF!-'DADOS DOS EMPREENDIMENTOS'!#REF!))))</f>
        <v>#REF!</v>
      </c>
      <c r="AS79" s="52">
        <v>38</v>
      </c>
      <c r="AT79" s="31">
        <v>41091</v>
      </c>
      <c r="AU79" s="9">
        <v>0</v>
      </c>
      <c r="AV79" s="67" t="e">
        <f>IF(AS79&lt;'DADOS DOS EMPREENDIMENTOS'!AU$11,0,IF(AS79='DADOS DOS EMPREENDIMENTOS'!AU$11,SUM(AU$41:AU79)*(1-'DADOS DOS EMPREENDIMENTOS'!#REF!-'DADOS DOS EMPREENDIMENTOS'!#REF!)+'DADOS DOS EMPREENDIMENTOS'!#REF!,IF(AS79='DADOS DOS EMPREENDIMENTOS'!#REF!,'DADOS DOS EMPREENDIMENTOS'!#REF!,AU79*(1-'DADOS DOS EMPREENDIMENTOS'!#REF!-'DADOS DOS EMPREENDIMENTOS'!#REF!))))</f>
        <v>#REF!</v>
      </c>
      <c r="AX79" s="52">
        <v>38</v>
      </c>
      <c r="AY79" s="31">
        <v>41091</v>
      </c>
      <c r="AZ79" s="9">
        <v>0</v>
      </c>
      <c r="BA79" s="67" t="e">
        <f>IF(AX79&lt;'DADOS DOS EMPREENDIMENTOS'!AZ$11,0,IF(AX79='DADOS DOS EMPREENDIMENTOS'!AZ$11,SUM(AZ$41:AZ79)*(1-'DADOS DOS EMPREENDIMENTOS'!#REF!-'DADOS DOS EMPREENDIMENTOS'!#REF!)+'DADOS DOS EMPREENDIMENTOS'!#REF!,IF(AX79='DADOS DOS EMPREENDIMENTOS'!#REF!,'DADOS DOS EMPREENDIMENTOS'!#REF!,AZ79*(1-'DADOS DOS EMPREENDIMENTOS'!#REF!-'DADOS DOS EMPREENDIMENTOS'!#REF!))))</f>
        <v>#REF!</v>
      </c>
      <c r="BC79" s="52">
        <v>38</v>
      </c>
      <c r="BD79" s="31">
        <v>41091</v>
      </c>
      <c r="BE79" s="9">
        <v>0</v>
      </c>
      <c r="BF79" s="67" t="e">
        <f>IF(BC79&lt;'DADOS DOS EMPREENDIMENTOS'!BE$11,0,IF(BC79='DADOS DOS EMPREENDIMENTOS'!BE$11,SUM(BE$41:BE79)*(1-'DADOS DOS EMPREENDIMENTOS'!#REF!-'DADOS DOS EMPREENDIMENTOS'!#REF!)+'DADOS DOS EMPREENDIMENTOS'!#REF!,IF(BC79='DADOS DOS EMPREENDIMENTOS'!#REF!,'DADOS DOS EMPREENDIMENTOS'!#REF!,BE79*(1-'DADOS DOS EMPREENDIMENTOS'!#REF!-'DADOS DOS EMPREENDIMENTOS'!#REF!))))</f>
        <v>#REF!</v>
      </c>
      <c r="BH79" s="52">
        <v>38</v>
      </c>
      <c r="BI79" s="31">
        <v>41091</v>
      </c>
      <c r="BJ79" s="9">
        <v>0</v>
      </c>
      <c r="BK79" s="67" t="e">
        <f>IF(BH79&lt;'DADOS DOS EMPREENDIMENTOS'!BJ$11,0,IF(BH79='DADOS DOS EMPREENDIMENTOS'!BJ$11,SUM(BJ$41:BJ79)*(1-'DADOS DOS EMPREENDIMENTOS'!#REF!-'DADOS DOS EMPREENDIMENTOS'!#REF!)+'DADOS DOS EMPREENDIMENTOS'!#REF!,IF(BH79='DADOS DOS EMPREENDIMENTOS'!#REF!,'DADOS DOS EMPREENDIMENTOS'!#REF!,BJ79*(1-'DADOS DOS EMPREENDIMENTOS'!#REF!-'DADOS DOS EMPREENDIMENTOS'!#REF!))))</f>
        <v>#REF!</v>
      </c>
      <c r="BM79" s="52">
        <v>38</v>
      </c>
      <c r="BN79" s="31">
        <v>41091</v>
      </c>
      <c r="BO79" s="9">
        <v>0</v>
      </c>
      <c r="BP79" s="67" t="e">
        <f>IF(BM79&lt;'DADOS DOS EMPREENDIMENTOS'!BO$11,0,IF(BM79='DADOS DOS EMPREENDIMENTOS'!BO$11,SUM(BO$41:BO79)*(1-'DADOS DOS EMPREENDIMENTOS'!#REF!-'DADOS DOS EMPREENDIMENTOS'!#REF!)+'DADOS DOS EMPREENDIMENTOS'!#REF!,IF(BM79='DADOS DOS EMPREENDIMENTOS'!BO$12,'DADOS DOS EMPREENDIMENTOS'!#REF!,BO79*(1-'DADOS DOS EMPREENDIMENTOS'!#REF!-'DADOS DOS EMPREENDIMENTOS'!#REF!))))</f>
        <v>#REF!</v>
      </c>
      <c r="BR79" s="52">
        <v>38</v>
      </c>
      <c r="BS79" s="31">
        <v>41091</v>
      </c>
      <c r="BT79" s="9">
        <v>0</v>
      </c>
      <c r="BU79" s="67" t="e">
        <f>IF(BR79&lt;'DADOS DOS EMPREENDIMENTOS'!BT$11,0,IF(BR79='DADOS DOS EMPREENDIMENTOS'!BT$11,SUM(BT$41:BT79)*(1-'DADOS DOS EMPREENDIMENTOS'!#REF!-'DADOS DOS EMPREENDIMENTOS'!#REF!)+'DADOS DOS EMPREENDIMENTOS'!#REF!,IF(BR79='DADOS DOS EMPREENDIMENTOS'!BT$12,'DADOS DOS EMPREENDIMENTOS'!#REF!,BT79*(1-'DADOS DOS EMPREENDIMENTOS'!#REF!-'DADOS DOS EMPREENDIMENTOS'!#REF!))))</f>
        <v>#REF!</v>
      </c>
      <c r="BW79" s="52">
        <v>38</v>
      </c>
      <c r="BX79" s="31">
        <v>41091</v>
      </c>
      <c r="BY79" s="9">
        <v>0</v>
      </c>
      <c r="BZ79" s="67" t="e">
        <f>IF(BW79&lt;'DADOS DOS EMPREENDIMENTOS'!BY$11,0,IF(BW79='DADOS DOS EMPREENDIMENTOS'!BY$11,SUM(BY$41:BY79)*(1-'DADOS DOS EMPREENDIMENTOS'!#REF!-'DADOS DOS EMPREENDIMENTOS'!#REF!)+'DADOS DOS EMPREENDIMENTOS'!#REF!,IF(BW79='DADOS DOS EMPREENDIMENTOS'!BY$12,'DADOS DOS EMPREENDIMENTOS'!#REF!,BY79*(1-'DADOS DOS EMPREENDIMENTOS'!#REF!-'DADOS DOS EMPREENDIMENTOS'!#REF!))))</f>
        <v>#REF!</v>
      </c>
      <c r="CB79" s="52">
        <v>38</v>
      </c>
      <c r="CC79" s="31">
        <v>41091</v>
      </c>
      <c r="CD79" s="9">
        <v>0</v>
      </c>
      <c r="CE79" s="67" t="e">
        <f>IF(CB79&lt;'DADOS DOS EMPREENDIMENTOS'!CD$11,0,IF(CB79='DADOS DOS EMPREENDIMENTOS'!CD$11,SUM(CD$41:CD79)*(1-'DADOS DOS EMPREENDIMENTOS'!#REF!-'DADOS DOS EMPREENDIMENTOS'!#REF!)+'DADOS DOS EMPREENDIMENTOS'!#REF!,IF(CB79='DADOS DOS EMPREENDIMENTOS'!CD$12,'DADOS DOS EMPREENDIMENTOS'!#REF!,CD79*(1-'DADOS DOS EMPREENDIMENTOS'!#REF!-'DADOS DOS EMPREENDIMENTOS'!#REF!))))</f>
        <v>#REF!</v>
      </c>
      <c r="CG79" s="52"/>
      <c r="CH79" s="31"/>
      <c r="CI79" s="9"/>
      <c r="CJ79" s="67"/>
    </row>
    <row r="80" spans="15:88" ht="12.75" customHeight="1" thickBot="1" x14ac:dyDescent="0.25">
      <c r="O80" s="43">
        <v>65</v>
      </c>
      <c r="P80" s="607" t="s">
        <v>376</v>
      </c>
      <c r="Q80" s="642">
        <f>VLOOKUP(P80,Apoio!C:E,2,0)</f>
        <v>214220</v>
      </c>
      <c r="R80" s="609">
        <v>216000</v>
      </c>
      <c r="S80" s="359">
        <v>5</v>
      </c>
      <c r="T80" s="52">
        <v>39</v>
      </c>
      <c r="U80" s="31"/>
      <c r="V80" s="9"/>
      <c r="W80" s="67"/>
      <c r="Y80" s="52">
        <v>39</v>
      </c>
      <c r="Z80" s="31"/>
      <c r="AA80" s="9"/>
      <c r="AB80" s="67"/>
      <c r="AD80" s="52">
        <v>39</v>
      </c>
      <c r="AE80" s="31">
        <v>41122</v>
      </c>
      <c r="AF80" s="9">
        <v>0</v>
      </c>
      <c r="AG80" s="67" t="e">
        <f>IF(AD80&lt;'DADOS DOS EMPREENDIMENTOS'!AF$11,0,IF(AD80='DADOS DOS EMPREENDIMENTOS'!AF$11,SUM(AF$41:AF80)*(1-'DADOS DOS EMPREENDIMENTOS'!#REF!-'DADOS DOS EMPREENDIMENTOS'!#REF!)+'DADOS DOS EMPREENDIMENTOS'!#REF!,IF(AD80='DADOS DOS EMPREENDIMENTOS'!#REF!,'DADOS DOS EMPREENDIMENTOS'!#REF!,AF80*(1-'DADOS DOS EMPREENDIMENTOS'!#REF!-'DADOS DOS EMPREENDIMENTOS'!#REF!))))</f>
        <v>#REF!</v>
      </c>
      <c r="AI80" s="52">
        <v>39</v>
      </c>
      <c r="AJ80" s="31">
        <v>41122</v>
      </c>
      <c r="AK80" s="9">
        <v>0</v>
      </c>
      <c r="AL80" s="67" t="e">
        <f>IF(AI80&lt;'DADOS DOS EMPREENDIMENTOS'!AK$11,0,IF(AI80='DADOS DOS EMPREENDIMENTOS'!AK$11,SUM(AK$41:AK80)*(1-'DADOS DOS EMPREENDIMENTOS'!#REF!-'DADOS DOS EMPREENDIMENTOS'!#REF!)+'DADOS DOS EMPREENDIMENTOS'!#REF!,IF(AI80='DADOS DOS EMPREENDIMENTOS'!#REF!,'DADOS DOS EMPREENDIMENTOS'!#REF!,AK80*(1-'DADOS DOS EMPREENDIMENTOS'!#REF!-'DADOS DOS EMPREENDIMENTOS'!#REF!))))</f>
        <v>#REF!</v>
      </c>
      <c r="AN80" s="52">
        <v>39</v>
      </c>
      <c r="AO80" s="31">
        <v>41122</v>
      </c>
      <c r="AP80" s="9">
        <v>0</v>
      </c>
      <c r="AQ80" s="67" t="e">
        <f>IF(AN80&lt;'DADOS DOS EMPREENDIMENTOS'!AP$11,0,IF(AN80='DADOS DOS EMPREENDIMENTOS'!AP$11,SUM(AP$41:AP80)*(1-'DADOS DOS EMPREENDIMENTOS'!#REF!-'DADOS DOS EMPREENDIMENTOS'!#REF!)+'DADOS DOS EMPREENDIMENTOS'!#REF!,IF(AN80='DADOS DOS EMPREENDIMENTOS'!#REF!,'DADOS DOS EMPREENDIMENTOS'!#REF!,AP80*(1-'DADOS DOS EMPREENDIMENTOS'!#REF!-'DADOS DOS EMPREENDIMENTOS'!#REF!))))</f>
        <v>#REF!</v>
      </c>
      <c r="AS80" s="52">
        <v>39</v>
      </c>
      <c r="AT80" s="31">
        <v>41122</v>
      </c>
      <c r="AU80" s="9">
        <v>0</v>
      </c>
      <c r="AV80" s="67" t="e">
        <f>IF(AS80&lt;'DADOS DOS EMPREENDIMENTOS'!AU$11,0,IF(AS80='DADOS DOS EMPREENDIMENTOS'!AU$11,SUM(AU$41:AU80)*(1-'DADOS DOS EMPREENDIMENTOS'!#REF!-'DADOS DOS EMPREENDIMENTOS'!#REF!)+'DADOS DOS EMPREENDIMENTOS'!#REF!,IF(AS80='DADOS DOS EMPREENDIMENTOS'!#REF!,'DADOS DOS EMPREENDIMENTOS'!#REF!,AU80*(1-'DADOS DOS EMPREENDIMENTOS'!#REF!-'DADOS DOS EMPREENDIMENTOS'!#REF!))))</f>
        <v>#REF!</v>
      </c>
      <c r="AX80" s="52">
        <v>39</v>
      </c>
      <c r="AY80" s="31">
        <v>41122</v>
      </c>
      <c r="AZ80" s="9">
        <v>0</v>
      </c>
      <c r="BA80" s="67" t="e">
        <f>IF(AX80&lt;'DADOS DOS EMPREENDIMENTOS'!AZ$11,0,IF(AX80='DADOS DOS EMPREENDIMENTOS'!AZ$11,SUM(AZ$41:AZ80)*(1-'DADOS DOS EMPREENDIMENTOS'!#REF!-'DADOS DOS EMPREENDIMENTOS'!#REF!)+'DADOS DOS EMPREENDIMENTOS'!#REF!,IF(AX80='DADOS DOS EMPREENDIMENTOS'!#REF!,'DADOS DOS EMPREENDIMENTOS'!#REF!,AZ80*(1-'DADOS DOS EMPREENDIMENTOS'!#REF!-'DADOS DOS EMPREENDIMENTOS'!#REF!))))</f>
        <v>#REF!</v>
      </c>
      <c r="BC80" s="52">
        <v>39</v>
      </c>
      <c r="BD80" s="31">
        <v>41122</v>
      </c>
      <c r="BE80" s="9">
        <v>0</v>
      </c>
      <c r="BF80" s="67" t="e">
        <f>IF(BC80&lt;'DADOS DOS EMPREENDIMENTOS'!BE$11,0,IF(BC80='DADOS DOS EMPREENDIMENTOS'!BE$11,SUM(BE$41:BE80)*(1-'DADOS DOS EMPREENDIMENTOS'!#REF!-'DADOS DOS EMPREENDIMENTOS'!#REF!)+'DADOS DOS EMPREENDIMENTOS'!#REF!,IF(BC80='DADOS DOS EMPREENDIMENTOS'!#REF!,'DADOS DOS EMPREENDIMENTOS'!#REF!,BE80*(1-'DADOS DOS EMPREENDIMENTOS'!#REF!-'DADOS DOS EMPREENDIMENTOS'!#REF!))))</f>
        <v>#REF!</v>
      </c>
      <c r="BH80" s="52">
        <v>39</v>
      </c>
      <c r="BI80" s="31">
        <v>41122</v>
      </c>
      <c r="BJ80" s="9">
        <v>0</v>
      </c>
      <c r="BK80" s="67" t="e">
        <f>IF(BH80&lt;'DADOS DOS EMPREENDIMENTOS'!BJ$11,0,IF(BH80='DADOS DOS EMPREENDIMENTOS'!BJ$11,SUM(BJ$41:BJ80)*(1-'DADOS DOS EMPREENDIMENTOS'!#REF!-'DADOS DOS EMPREENDIMENTOS'!#REF!)+'DADOS DOS EMPREENDIMENTOS'!#REF!,IF(BH80='DADOS DOS EMPREENDIMENTOS'!#REF!,'DADOS DOS EMPREENDIMENTOS'!#REF!,BJ80*(1-'DADOS DOS EMPREENDIMENTOS'!#REF!-'DADOS DOS EMPREENDIMENTOS'!#REF!))))</f>
        <v>#REF!</v>
      </c>
      <c r="BM80" s="52">
        <v>39</v>
      </c>
      <c r="BN80" s="31">
        <v>41122</v>
      </c>
      <c r="BO80" s="9">
        <v>0</v>
      </c>
      <c r="BP80" s="67" t="e">
        <f>IF(BM80&lt;'DADOS DOS EMPREENDIMENTOS'!BO$11,0,IF(BM80='DADOS DOS EMPREENDIMENTOS'!BO$11,SUM(BO$41:BO80)*(1-'DADOS DOS EMPREENDIMENTOS'!#REF!-'DADOS DOS EMPREENDIMENTOS'!#REF!)+'DADOS DOS EMPREENDIMENTOS'!#REF!,IF(BM80='DADOS DOS EMPREENDIMENTOS'!BO$12,'DADOS DOS EMPREENDIMENTOS'!#REF!,BO80*(1-'DADOS DOS EMPREENDIMENTOS'!#REF!-'DADOS DOS EMPREENDIMENTOS'!#REF!))))</f>
        <v>#REF!</v>
      </c>
      <c r="BR80" s="52">
        <v>39</v>
      </c>
      <c r="BS80" s="31">
        <v>41122</v>
      </c>
      <c r="BT80" s="9">
        <v>0</v>
      </c>
      <c r="BU80" s="67" t="e">
        <f>IF(BR80&lt;'DADOS DOS EMPREENDIMENTOS'!BT$11,0,IF(BR80='DADOS DOS EMPREENDIMENTOS'!BT$11,SUM(BT$41:BT80)*(1-'DADOS DOS EMPREENDIMENTOS'!#REF!-'DADOS DOS EMPREENDIMENTOS'!#REF!)+'DADOS DOS EMPREENDIMENTOS'!#REF!,IF(BR80='DADOS DOS EMPREENDIMENTOS'!BT$12,'DADOS DOS EMPREENDIMENTOS'!#REF!,BT80*(1-'DADOS DOS EMPREENDIMENTOS'!#REF!-'DADOS DOS EMPREENDIMENTOS'!#REF!))))</f>
        <v>#REF!</v>
      </c>
      <c r="BW80" s="52">
        <v>39</v>
      </c>
      <c r="BX80" s="31">
        <v>41122</v>
      </c>
      <c r="BY80" s="9">
        <v>0</v>
      </c>
      <c r="BZ80" s="67" t="e">
        <f>IF(BW80&lt;'DADOS DOS EMPREENDIMENTOS'!BY$11,0,IF(BW80='DADOS DOS EMPREENDIMENTOS'!BY$11,SUM(BY$41:BY80)*(1-'DADOS DOS EMPREENDIMENTOS'!#REF!-'DADOS DOS EMPREENDIMENTOS'!#REF!)+'DADOS DOS EMPREENDIMENTOS'!#REF!,IF(BW80='DADOS DOS EMPREENDIMENTOS'!BY$12,'DADOS DOS EMPREENDIMENTOS'!#REF!,BY80*(1-'DADOS DOS EMPREENDIMENTOS'!#REF!-'DADOS DOS EMPREENDIMENTOS'!#REF!))))</f>
        <v>#REF!</v>
      </c>
      <c r="CB80" s="52">
        <v>39</v>
      </c>
      <c r="CC80" s="31">
        <v>41122</v>
      </c>
      <c r="CD80" s="9">
        <v>0</v>
      </c>
      <c r="CE80" s="67" t="e">
        <f>IF(CB80&lt;'DADOS DOS EMPREENDIMENTOS'!CD$11,0,IF(CB80='DADOS DOS EMPREENDIMENTOS'!CD$11,SUM(CD$41:CD80)*(1-'DADOS DOS EMPREENDIMENTOS'!#REF!-'DADOS DOS EMPREENDIMENTOS'!#REF!)+'DADOS DOS EMPREENDIMENTOS'!#REF!,IF(CB80='DADOS DOS EMPREENDIMENTOS'!CD$12,'DADOS DOS EMPREENDIMENTOS'!#REF!,CD80*(1-'DADOS DOS EMPREENDIMENTOS'!#REF!-'DADOS DOS EMPREENDIMENTOS'!#REF!))))</f>
        <v>#REF!</v>
      </c>
      <c r="CG80" s="52"/>
      <c r="CH80" s="31"/>
      <c r="CI80" s="9"/>
      <c r="CJ80" s="67"/>
    </row>
    <row r="81" spans="15:88" ht="13.5" customHeight="1" thickBot="1" x14ac:dyDescent="0.25">
      <c r="O81" s="45">
        <v>66</v>
      </c>
      <c r="P81" s="607" t="s">
        <v>377</v>
      </c>
      <c r="Q81" s="642">
        <f>VLOOKUP(P81,Apoio!C:E,2,0)</f>
        <v>214240</v>
      </c>
      <c r="R81" s="609">
        <v>220000</v>
      </c>
      <c r="S81" s="359">
        <v>5</v>
      </c>
      <c r="T81" s="53">
        <v>40</v>
      </c>
      <c r="U81" s="54"/>
      <c r="V81" s="55"/>
      <c r="W81" s="67"/>
      <c r="Y81" s="53">
        <v>40</v>
      </c>
      <c r="Z81" s="54"/>
      <c r="AA81" s="55"/>
      <c r="AB81" s="67"/>
      <c r="AD81" s="53">
        <v>40</v>
      </c>
      <c r="AE81" s="54">
        <v>41153</v>
      </c>
      <c r="AF81" s="55">
        <v>0</v>
      </c>
      <c r="AG81" s="67" t="e">
        <f>IF(AD81&lt;'DADOS DOS EMPREENDIMENTOS'!AF$11,0,IF(AD81='DADOS DOS EMPREENDIMENTOS'!AF$11,SUM(AF$41:AF81)*(1-'DADOS DOS EMPREENDIMENTOS'!#REF!-'DADOS DOS EMPREENDIMENTOS'!#REF!)+'DADOS DOS EMPREENDIMENTOS'!#REF!,IF(AD81='DADOS DOS EMPREENDIMENTOS'!#REF!,'DADOS DOS EMPREENDIMENTOS'!#REF!,AF81*(1-'DADOS DOS EMPREENDIMENTOS'!#REF!-'DADOS DOS EMPREENDIMENTOS'!#REF!))))</f>
        <v>#REF!</v>
      </c>
      <c r="AI81" s="53">
        <v>40</v>
      </c>
      <c r="AJ81" s="54">
        <v>41153</v>
      </c>
      <c r="AK81" s="55">
        <v>0</v>
      </c>
      <c r="AL81" s="67" t="e">
        <f>IF(AI81&lt;'DADOS DOS EMPREENDIMENTOS'!AK$11,0,IF(AI81='DADOS DOS EMPREENDIMENTOS'!AK$11,SUM(AK$41:AK81)*(1-'DADOS DOS EMPREENDIMENTOS'!#REF!-'DADOS DOS EMPREENDIMENTOS'!#REF!)+'DADOS DOS EMPREENDIMENTOS'!#REF!,IF(AI81='DADOS DOS EMPREENDIMENTOS'!#REF!,'DADOS DOS EMPREENDIMENTOS'!#REF!,AK81*(1-'DADOS DOS EMPREENDIMENTOS'!#REF!-'DADOS DOS EMPREENDIMENTOS'!#REF!))))</f>
        <v>#REF!</v>
      </c>
      <c r="AN81" s="53">
        <v>40</v>
      </c>
      <c r="AO81" s="54">
        <v>41153</v>
      </c>
      <c r="AP81" s="55">
        <v>0</v>
      </c>
      <c r="AQ81" s="67" t="e">
        <f>IF(AN81&lt;'DADOS DOS EMPREENDIMENTOS'!AP$11,0,IF(AN81='DADOS DOS EMPREENDIMENTOS'!AP$11,SUM(AP$41:AP81)*(1-'DADOS DOS EMPREENDIMENTOS'!#REF!-'DADOS DOS EMPREENDIMENTOS'!#REF!)+'DADOS DOS EMPREENDIMENTOS'!#REF!,IF(AN81='DADOS DOS EMPREENDIMENTOS'!#REF!,'DADOS DOS EMPREENDIMENTOS'!#REF!,AP81*(1-'DADOS DOS EMPREENDIMENTOS'!#REF!-'DADOS DOS EMPREENDIMENTOS'!#REF!))))</f>
        <v>#REF!</v>
      </c>
      <c r="AS81" s="53">
        <v>40</v>
      </c>
      <c r="AT81" s="54">
        <v>41153</v>
      </c>
      <c r="AU81" s="55">
        <v>0</v>
      </c>
      <c r="AV81" s="67" t="e">
        <f>IF(AS81&lt;'DADOS DOS EMPREENDIMENTOS'!AU$11,0,IF(AS81='DADOS DOS EMPREENDIMENTOS'!AU$11,SUM(AU$41:AU81)*(1-'DADOS DOS EMPREENDIMENTOS'!#REF!-'DADOS DOS EMPREENDIMENTOS'!#REF!)+'DADOS DOS EMPREENDIMENTOS'!#REF!,IF(AS81='DADOS DOS EMPREENDIMENTOS'!#REF!,'DADOS DOS EMPREENDIMENTOS'!#REF!,AU81*(1-'DADOS DOS EMPREENDIMENTOS'!#REF!-'DADOS DOS EMPREENDIMENTOS'!#REF!))))</f>
        <v>#REF!</v>
      </c>
      <c r="AX81" s="53">
        <v>40</v>
      </c>
      <c r="AY81" s="54">
        <v>41153</v>
      </c>
      <c r="AZ81" s="55">
        <v>0</v>
      </c>
      <c r="BA81" s="67" t="e">
        <f>IF(AX81&lt;'DADOS DOS EMPREENDIMENTOS'!AZ$11,0,IF(AX81='DADOS DOS EMPREENDIMENTOS'!AZ$11,SUM(AZ$41:AZ81)*(1-'DADOS DOS EMPREENDIMENTOS'!#REF!-'DADOS DOS EMPREENDIMENTOS'!#REF!)+'DADOS DOS EMPREENDIMENTOS'!#REF!,IF(AX81='DADOS DOS EMPREENDIMENTOS'!#REF!,'DADOS DOS EMPREENDIMENTOS'!#REF!,AZ81*(1-'DADOS DOS EMPREENDIMENTOS'!#REF!-'DADOS DOS EMPREENDIMENTOS'!#REF!))))</f>
        <v>#REF!</v>
      </c>
      <c r="BC81" s="53">
        <v>40</v>
      </c>
      <c r="BD81" s="54">
        <v>41153</v>
      </c>
      <c r="BE81" s="55">
        <v>0</v>
      </c>
      <c r="BF81" s="67" t="e">
        <f>IF(BC81&lt;'DADOS DOS EMPREENDIMENTOS'!BE$11,0,IF(BC81='DADOS DOS EMPREENDIMENTOS'!BE$11,SUM(BE$41:BE81)*(1-'DADOS DOS EMPREENDIMENTOS'!#REF!-'DADOS DOS EMPREENDIMENTOS'!#REF!)+'DADOS DOS EMPREENDIMENTOS'!#REF!,IF(BC81='DADOS DOS EMPREENDIMENTOS'!#REF!,'DADOS DOS EMPREENDIMENTOS'!#REF!,BE81*(1-'DADOS DOS EMPREENDIMENTOS'!#REF!-'DADOS DOS EMPREENDIMENTOS'!#REF!))))</f>
        <v>#REF!</v>
      </c>
      <c r="BH81" s="53">
        <v>40</v>
      </c>
      <c r="BI81" s="54">
        <v>41153</v>
      </c>
      <c r="BJ81" s="55">
        <v>0</v>
      </c>
      <c r="BK81" s="67" t="e">
        <f>IF(BH81&lt;'DADOS DOS EMPREENDIMENTOS'!BJ$11,0,IF(BH81='DADOS DOS EMPREENDIMENTOS'!BJ$11,SUM(BJ$41:BJ81)*(1-'DADOS DOS EMPREENDIMENTOS'!#REF!-'DADOS DOS EMPREENDIMENTOS'!#REF!)+'DADOS DOS EMPREENDIMENTOS'!#REF!,IF(BH81='DADOS DOS EMPREENDIMENTOS'!#REF!,'DADOS DOS EMPREENDIMENTOS'!#REF!,BJ81*(1-'DADOS DOS EMPREENDIMENTOS'!#REF!-'DADOS DOS EMPREENDIMENTOS'!#REF!))))</f>
        <v>#REF!</v>
      </c>
      <c r="BM81" s="53">
        <v>40</v>
      </c>
      <c r="BN81" s="54">
        <v>41153</v>
      </c>
      <c r="BO81" s="55">
        <v>0</v>
      </c>
      <c r="BP81" s="67" t="e">
        <f>IF(BM81&lt;'DADOS DOS EMPREENDIMENTOS'!BO$11,0,IF(BM81='DADOS DOS EMPREENDIMENTOS'!BO$11,SUM(BO$41:BO81)*(1-'DADOS DOS EMPREENDIMENTOS'!#REF!-'DADOS DOS EMPREENDIMENTOS'!#REF!)+'DADOS DOS EMPREENDIMENTOS'!#REF!,IF(BM81='DADOS DOS EMPREENDIMENTOS'!BO$12,'DADOS DOS EMPREENDIMENTOS'!#REF!,BO81*(1-'DADOS DOS EMPREENDIMENTOS'!#REF!-'DADOS DOS EMPREENDIMENTOS'!#REF!))))</f>
        <v>#REF!</v>
      </c>
      <c r="BR81" s="53">
        <v>40</v>
      </c>
      <c r="BS81" s="54">
        <v>41153</v>
      </c>
      <c r="BT81" s="55">
        <v>0</v>
      </c>
      <c r="BU81" s="67" t="e">
        <f>IF(BR81&lt;'DADOS DOS EMPREENDIMENTOS'!BT$11,0,IF(BR81='DADOS DOS EMPREENDIMENTOS'!BT$11,SUM(BT$41:BT81)*(1-'DADOS DOS EMPREENDIMENTOS'!#REF!-'DADOS DOS EMPREENDIMENTOS'!#REF!)+'DADOS DOS EMPREENDIMENTOS'!#REF!,IF(BR81='DADOS DOS EMPREENDIMENTOS'!BT$12,'DADOS DOS EMPREENDIMENTOS'!#REF!,BT81*(1-'DADOS DOS EMPREENDIMENTOS'!#REF!-'DADOS DOS EMPREENDIMENTOS'!#REF!))))</f>
        <v>#REF!</v>
      </c>
      <c r="BW81" s="53">
        <v>40</v>
      </c>
      <c r="BX81" s="54">
        <v>41153</v>
      </c>
      <c r="BY81" s="55">
        <v>0</v>
      </c>
      <c r="BZ81" s="67" t="e">
        <f>IF(BW81&lt;'DADOS DOS EMPREENDIMENTOS'!BY$11,0,IF(BW81='DADOS DOS EMPREENDIMENTOS'!BY$11,SUM(BY$41:BY81)*(1-'DADOS DOS EMPREENDIMENTOS'!#REF!-'DADOS DOS EMPREENDIMENTOS'!#REF!)+'DADOS DOS EMPREENDIMENTOS'!#REF!,IF(BW81='DADOS DOS EMPREENDIMENTOS'!BY$12,'DADOS DOS EMPREENDIMENTOS'!#REF!,BY81*(1-'DADOS DOS EMPREENDIMENTOS'!#REF!-'DADOS DOS EMPREENDIMENTOS'!#REF!))))</f>
        <v>#REF!</v>
      </c>
      <c r="CB81" s="53">
        <v>40</v>
      </c>
      <c r="CC81" s="54">
        <v>41153</v>
      </c>
      <c r="CD81" s="55">
        <v>0</v>
      </c>
      <c r="CE81" s="67" t="e">
        <f>IF(CB81&lt;'DADOS DOS EMPREENDIMENTOS'!CD$11,0,IF(CB81='DADOS DOS EMPREENDIMENTOS'!CD$11,SUM(CD$41:CD81)*(1-'DADOS DOS EMPREENDIMENTOS'!#REF!-'DADOS DOS EMPREENDIMENTOS'!#REF!)+'DADOS DOS EMPREENDIMENTOS'!#REF!,IF(CB81='DADOS DOS EMPREENDIMENTOS'!CD$12,'DADOS DOS EMPREENDIMENTOS'!#REF!,CD81*(1-'DADOS DOS EMPREENDIMENTOS'!#REF!-'DADOS DOS EMPREENDIMENTOS'!#REF!))))</f>
        <v>#REF!</v>
      </c>
      <c r="CG81" s="53"/>
      <c r="CH81" s="54"/>
      <c r="CI81" s="55"/>
      <c r="CJ81" s="67"/>
    </row>
    <row r="82" spans="15:88" ht="12.75" customHeight="1" thickBot="1" x14ac:dyDescent="0.25">
      <c r="O82" s="43">
        <v>67</v>
      </c>
      <c r="P82" s="607" t="s">
        <v>378</v>
      </c>
      <c r="Q82" s="642">
        <f>VLOOKUP(P82,Apoio!C:E,2,0)</f>
        <v>214240</v>
      </c>
      <c r="R82" s="609">
        <v>220000</v>
      </c>
      <c r="S82" s="359">
        <v>5</v>
      </c>
    </row>
    <row r="83" spans="15:88" ht="12.75" customHeight="1" thickBot="1" x14ac:dyDescent="0.25">
      <c r="O83" s="45">
        <v>68</v>
      </c>
      <c r="P83" s="607" t="s">
        <v>379</v>
      </c>
      <c r="Q83" s="642">
        <f>VLOOKUP(P83,Apoio!C:E,2,0)</f>
        <v>214220</v>
      </c>
      <c r="R83" s="609">
        <v>216000</v>
      </c>
      <c r="S83" s="359">
        <v>5</v>
      </c>
    </row>
    <row r="84" spans="15:88" ht="12.75" customHeight="1" thickBot="1" x14ac:dyDescent="0.25">
      <c r="O84" s="43">
        <v>69</v>
      </c>
      <c r="P84" s="607" t="s">
        <v>461</v>
      </c>
      <c r="Q84" s="642">
        <f>VLOOKUP(P84,Apoio!C:E,2,0)</f>
        <v>219040</v>
      </c>
      <c r="R84" s="609">
        <v>216000</v>
      </c>
      <c r="S84" s="359">
        <v>5</v>
      </c>
    </row>
    <row r="85" spans="15:88" ht="12.75" customHeight="1" thickBot="1" x14ac:dyDescent="0.25">
      <c r="O85" s="45">
        <v>70</v>
      </c>
      <c r="P85" s="607" t="s">
        <v>462</v>
      </c>
      <c r="Q85" s="642">
        <f>VLOOKUP(P85,Apoio!C:E,2,0)</f>
        <v>218930</v>
      </c>
      <c r="R85" s="609">
        <v>220000</v>
      </c>
      <c r="S85" s="359">
        <v>5</v>
      </c>
    </row>
    <row r="86" spans="15:88" ht="12.75" customHeight="1" thickBot="1" x14ac:dyDescent="0.25">
      <c r="O86" s="43">
        <v>71</v>
      </c>
      <c r="P86" s="607" t="s">
        <v>380</v>
      </c>
      <c r="Q86" s="642">
        <f>VLOOKUP(P86,Apoio!C:E,2,0)</f>
        <v>226690</v>
      </c>
      <c r="R86" s="609">
        <v>220000</v>
      </c>
      <c r="S86" s="359">
        <v>5</v>
      </c>
    </row>
    <row r="87" spans="15:88" ht="12.75" customHeight="1" thickBot="1" x14ac:dyDescent="0.25">
      <c r="O87" s="45">
        <v>72</v>
      </c>
      <c r="P87" s="607" t="s">
        <v>381</v>
      </c>
      <c r="Q87" s="642">
        <f>VLOOKUP(P87,Apoio!C:E,2,0)</f>
        <v>221720</v>
      </c>
      <c r="R87" s="609">
        <v>220000</v>
      </c>
      <c r="S87" s="359">
        <v>5</v>
      </c>
    </row>
    <row r="88" spans="15:88" ht="12.75" customHeight="1" thickBot="1" x14ac:dyDescent="0.25">
      <c r="O88" s="43">
        <v>73</v>
      </c>
      <c r="P88" s="607" t="s">
        <v>382</v>
      </c>
      <c r="Q88" s="642">
        <f>VLOOKUP(P88,Apoio!C:E,2,0)</f>
        <v>221740</v>
      </c>
      <c r="R88" s="609">
        <v>220000</v>
      </c>
      <c r="S88" s="359">
        <v>5</v>
      </c>
    </row>
    <row r="89" spans="15:88" ht="12.75" customHeight="1" thickBot="1" x14ac:dyDescent="0.25">
      <c r="O89" s="45">
        <v>74</v>
      </c>
      <c r="P89" s="607" t="s">
        <v>383</v>
      </c>
      <c r="Q89" s="642">
        <f>VLOOKUP(P89,Apoio!C:E,2,0)</f>
        <v>221740</v>
      </c>
      <c r="R89" s="609">
        <v>220000</v>
      </c>
      <c r="S89" s="359">
        <v>5</v>
      </c>
    </row>
    <row r="90" spans="15:88" ht="12.75" customHeight="1" thickBot="1" x14ac:dyDescent="0.25">
      <c r="O90" s="43">
        <v>75</v>
      </c>
      <c r="P90" s="607" t="s">
        <v>384</v>
      </c>
      <c r="Q90" s="642">
        <f>VLOOKUP(P90,Apoio!C:E,2,0)</f>
        <v>221720</v>
      </c>
      <c r="R90" s="609">
        <v>220000</v>
      </c>
      <c r="S90" s="359">
        <v>5</v>
      </c>
    </row>
    <row r="91" spans="15:88" ht="12.75" customHeight="1" thickBot="1" x14ac:dyDescent="0.25">
      <c r="O91" s="45">
        <v>76</v>
      </c>
      <c r="P91" s="607" t="s">
        <v>385</v>
      </c>
      <c r="Q91" s="642">
        <f>VLOOKUP(P91,Apoio!C:E,2,0)</f>
        <v>226690</v>
      </c>
      <c r="R91" s="609">
        <v>220000</v>
      </c>
      <c r="S91" s="359">
        <v>5</v>
      </c>
    </row>
    <row r="92" spans="15:88" ht="12.75" customHeight="1" thickBot="1" x14ac:dyDescent="0.25">
      <c r="O92" s="43">
        <v>77</v>
      </c>
      <c r="P92" s="607" t="s">
        <v>386</v>
      </c>
      <c r="Q92" s="642">
        <f>VLOOKUP(P92,Apoio!C:E,2,0)</f>
        <v>226570</v>
      </c>
      <c r="R92" s="609">
        <v>220000</v>
      </c>
      <c r="S92" s="359">
        <v>5</v>
      </c>
    </row>
    <row r="93" spans="15:88" ht="12.75" customHeight="1" thickBot="1" x14ac:dyDescent="0.25">
      <c r="O93" s="45">
        <v>78</v>
      </c>
      <c r="P93" s="607" t="s">
        <v>387</v>
      </c>
      <c r="Q93" s="642">
        <f>VLOOKUP(P93,Apoio!C:E,2,0)</f>
        <v>226570</v>
      </c>
      <c r="R93" s="609">
        <v>220000</v>
      </c>
      <c r="S93" s="359">
        <v>5</v>
      </c>
    </row>
    <row r="94" spans="15:88" ht="12.75" customHeight="1" thickBot="1" x14ac:dyDescent="0.25">
      <c r="O94" s="43">
        <v>79</v>
      </c>
      <c r="P94" s="607" t="s">
        <v>388</v>
      </c>
      <c r="Q94" s="642">
        <f>VLOOKUP(P94,Apoio!C:E,2,0)</f>
        <v>226690</v>
      </c>
      <c r="R94" s="609">
        <v>220000</v>
      </c>
      <c r="S94" s="359">
        <v>5</v>
      </c>
    </row>
    <row r="95" spans="15:88" ht="12.75" customHeight="1" thickBot="1" x14ac:dyDescent="0.25">
      <c r="O95" s="45">
        <v>80</v>
      </c>
      <c r="P95" s="607" t="s">
        <v>389</v>
      </c>
      <c r="Q95" s="642">
        <f>VLOOKUP(P95,Apoio!C:E,2,0)</f>
        <v>221720</v>
      </c>
      <c r="R95" s="609">
        <v>220000</v>
      </c>
      <c r="S95" s="359">
        <v>5</v>
      </c>
    </row>
    <row r="96" spans="15:88" ht="12.75" customHeight="1" thickBot="1" x14ac:dyDescent="0.25">
      <c r="O96" s="43">
        <v>81</v>
      </c>
      <c r="P96" s="607" t="s">
        <v>390</v>
      </c>
      <c r="Q96" s="642">
        <f>VLOOKUP(P96,Apoio!C:E,2,0)</f>
        <v>221740</v>
      </c>
      <c r="R96" s="609">
        <v>220000</v>
      </c>
      <c r="S96" s="359">
        <v>5</v>
      </c>
    </row>
    <row r="97" spans="15:19" ht="12.75" customHeight="1" thickBot="1" x14ac:dyDescent="0.25">
      <c r="O97" s="45">
        <v>82</v>
      </c>
      <c r="P97" s="607" t="s">
        <v>391</v>
      </c>
      <c r="Q97" s="642">
        <f>VLOOKUP(P97,Apoio!C:E,2,0)</f>
        <v>221740</v>
      </c>
      <c r="R97" s="609">
        <v>220000</v>
      </c>
      <c r="S97" s="359">
        <v>5</v>
      </c>
    </row>
    <row r="98" spans="15:19" ht="12.75" customHeight="1" thickBot="1" x14ac:dyDescent="0.25">
      <c r="O98" s="43">
        <v>83</v>
      </c>
      <c r="P98" s="607" t="s">
        <v>392</v>
      </c>
      <c r="Q98" s="642">
        <f>VLOOKUP(P98,Apoio!C:E,2,0)</f>
        <v>221720</v>
      </c>
      <c r="R98" s="609">
        <v>220000</v>
      </c>
      <c r="S98" s="359">
        <v>5</v>
      </c>
    </row>
    <row r="99" spans="15:19" ht="12.75" customHeight="1" thickBot="1" x14ac:dyDescent="0.25">
      <c r="O99" s="45">
        <v>84</v>
      </c>
      <c r="P99" s="607" t="s">
        <v>393</v>
      </c>
      <c r="Q99" s="642">
        <f>VLOOKUP(P99,Apoio!C:E,2,0)</f>
        <v>226690</v>
      </c>
      <c r="R99" s="609">
        <v>220000</v>
      </c>
      <c r="S99" s="359">
        <v>5</v>
      </c>
    </row>
    <row r="100" spans="15:19" ht="12.75" customHeight="1" thickBot="1" x14ac:dyDescent="0.25">
      <c r="O100" s="43">
        <v>85</v>
      </c>
      <c r="P100" s="607" t="s">
        <v>394</v>
      </c>
      <c r="Q100" s="642">
        <f>VLOOKUP(P100,Apoio!C:E,2,0)</f>
        <v>226570</v>
      </c>
      <c r="R100" s="609">
        <v>220000</v>
      </c>
      <c r="S100" s="359">
        <v>5</v>
      </c>
    </row>
    <row r="101" spans="15:19" ht="12.75" customHeight="1" thickBot="1" x14ac:dyDescent="0.25">
      <c r="O101" s="45">
        <v>86</v>
      </c>
      <c r="P101" s="607" t="s">
        <v>395</v>
      </c>
      <c r="Q101" s="642">
        <f>VLOOKUP(P101,Apoio!C:E,2,0)</f>
        <v>226570</v>
      </c>
      <c r="R101" s="609">
        <v>220000</v>
      </c>
      <c r="S101" s="359">
        <v>5</v>
      </c>
    </row>
    <row r="102" spans="15:19" ht="12.75" customHeight="1" thickBot="1" x14ac:dyDescent="0.25">
      <c r="O102" s="43">
        <v>87</v>
      </c>
      <c r="P102" s="607" t="s">
        <v>396</v>
      </c>
      <c r="Q102" s="642">
        <f>VLOOKUP(P102,Apoio!C:E,2,0)</f>
        <v>240000</v>
      </c>
      <c r="R102" s="609">
        <v>240000</v>
      </c>
      <c r="S102" s="359">
        <v>5</v>
      </c>
    </row>
    <row r="103" spans="15:19" ht="12.75" customHeight="1" thickBot="1" x14ac:dyDescent="0.25">
      <c r="O103" s="45">
        <v>88</v>
      </c>
      <c r="P103" s="607" t="s">
        <v>397</v>
      </c>
      <c r="Q103" s="642">
        <f>VLOOKUP(P103,Apoio!C:E,2,0)</f>
        <v>240000</v>
      </c>
      <c r="R103" s="609">
        <v>240000</v>
      </c>
      <c r="S103" s="359">
        <v>5</v>
      </c>
    </row>
    <row r="104" spans="15:19" ht="12.75" customHeight="1" thickBot="1" x14ac:dyDescent="0.25">
      <c r="O104" s="43">
        <v>89</v>
      </c>
      <c r="P104" s="607" t="s">
        <v>398</v>
      </c>
      <c r="Q104" s="642">
        <f>VLOOKUP(P104,Apoio!C:E,2,0)</f>
        <v>240000</v>
      </c>
      <c r="R104" s="609">
        <v>240000</v>
      </c>
      <c r="S104" s="359">
        <v>5</v>
      </c>
    </row>
    <row r="105" spans="15:19" ht="12.75" customHeight="1" thickBot="1" x14ac:dyDescent="0.25">
      <c r="O105" s="45">
        <v>90</v>
      </c>
      <c r="P105" s="607" t="s">
        <v>399</v>
      </c>
      <c r="Q105" s="642">
        <f>VLOOKUP(P105,Apoio!C:E,2,0)</f>
        <v>240000</v>
      </c>
      <c r="R105" s="609">
        <v>240000</v>
      </c>
      <c r="S105" s="359">
        <v>5</v>
      </c>
    </row>
    <row r="106" spans="15:19" ht="12.75" customHeight="1" thickBot="1" x14ac:dyDescent="0.25">
      <c r="O106" s="43">
        <v>91</v>
      </c>
      <c r="P106" s="607" t="s">
        <v>400</v>
      </c>
      <c r="Q106" s="642">
        <f>VLOOKUP(P106,Apoio!C:E,2,0)</f>
        <v>240000</v>
      </c>
      <c r="R106" s="609">
        <v>240000</v>
      </c>
      <c r="S106" s="359">
        <v>5</v>
      </c>
    </row>
    <row r="107" spans="15:19" ht="12.75" customHeight="1" thickBot="1" x14ac:dyDescent="0.25">
      <c r="O107" s="45">
        <v>92</v>
      </c>
      <c r="P107" s="607" t="s">
        <v>401</v>
      </c>
      <c r="Q107" s="642">
        <f>VLOOKUP(P107,Apoio!C:E,2,0)</f>
        <v>240000</v>
      </c>
      <c r="R107" s="609">
        <v>240000</v>
      </c>
      <c r="S107" s="359">
        <v>5</v>
      </c>
    </row>
    <row r="108" spans="15:19" ht="12.75" customHeight="1" thickBot="1" x14ac:dyDescent="0.25">
      <c r="O108" s="43">
        <v>93</v>
      </c>
      <c r="P108" s="607" t="s">
        <v>402</v>
      </c>
      <c r="Q108" s="642">
        <f>VLOOKUP(P108,Apoio!C:E,2,0)</f>
        <v>240000</v>
      </c>
      <c r="R108" s="609">
        <v>240000</v>
      </c>
      <c r="S108" s="359">
        <v>5</v>
      </c>
    </row>
    <row r="109" spans="15:19" ht="12.75" customHeight="1" thickBot="1" x14ac:dyDescent="0.25">
      <c r="O109" s="45">
        <v>94</v>
      </c>
      <c r="P109" s="607" t="s">
        <v>403</v>
      </c>
      <c r="Q109" s="642">
        <f>VLOOKUP(P109,Apoio!C:E,2,0)</f>
        <v>240000</v>
      </c>
      <c r="R109" s="609">
        <v>240000</v>
      </c>
      <c r="S109" s="359">
        <v>5</v>
      </c>
    </row>
    <row r="110" spans="15:19" ht="12.75" customHeight="1" thickBot="1" x14ac:dyDescent="0.25">
      <c r="O110" s="43">
        <v>95</v>
      </c>
      <c r="P110" s="607" t="s">
        <v>404</v>
      </c>
      <c r="Q110" s="642">
        <f>VLOOKUP(P110,Apoio!C:E,2,0)</f>
        <v>240000</v>
      </c>
      <c r="R110" s="609">
        <v>240000</v>
      </c>
      <c r="S110" s="359">
        <v>5</v>
      </c>
    </row>
    <row r="111" spans="15:19" ht="12.75" customHeight="1" thickBot="1" x14ac:dyDescent="0.25">
      <c r="O111" s="45">
        <v>96</v>
      </c>
      <c r="P111" s="607" t="s">
        <v>405</v>
      </c>
      <c r="Q111" s="642">
        <f>VLOOKUP(P111,Apoio!C:E,2,0)</f>
        <v>240000</v>
      </c>
      <c r="R111" s="609">
        <v>240000</v>
      </c>
      <c r="S111" s="359">
        <v>5</v>
      </c>
    </row>
    <row r="112" spans="15:19" ht="12.75" customHeight="1" thickBot="1" x14ac:dyDescent="0.25">
      <c r="O112" s="43">
        <v>97</v>
      </c>
      <c r="P112" s="607" t="s">
        <v>406</v>
      </c>
      <c r="Q112" s="642">
        <f>VLOOKUP(P112,Apoio!C:E,2,0)</f>
        <v>240000</v>
      </c>
      <c r="R112" s="609">
        <v>240000</v>
      </c>
      <c r="S112" s="359">
        <v>5</v>
      </c>
    </row>
    <row r="113" spans="15:19" ht="12.75" customHeight="1" thickBot="1" x14ac:dyDescent="0.25">
      <c r="O113" s="45">
        <v>98</v>
      </c>
      <c r="P113" s="607" t="s">
        <v>407</v>
      </c>
      <c r="Q113" s="642">
        <f>VLOOKUP(P113,Apoio!C:E,2,0)</f>
        <v>240000</v>
      </c>
      <c r="R113" s="609">
        <v>240000</v>
      </c>
      <c r="S113" s="359">
        <v>5</v>
      </c>
    </row>
    <row r="114" spans="15:19" ht="12.75" customHeight="1" thickBot="1" x14ac:dyDescent="0.25">
      <c r="O114" s="43">
        <v>99</v>
      </c>
      <c r="P114" s="607" t="s">
        <v>408</v>
      </c>
      <c r="Q114" s="642">
        <f>VLOOKUP(P114,Apoio!C:E,2,0)</f>
        <v>240000</v>
      </c>
      <c r="R114" s="609">
        <v>240000</v>
      </c>
      <c r="S114" s="359">
        <v>5</v>
      </c>
    </row>
    <row r="115" spans="15:19" ht="12.75" customHeight="1" thickBot="1" x14ac:dyDescent="0.25">
      <c r="O115" s="45">
        <v>100</v>
      </c>
      <c r="P115" s="607" t="s">
        <v>409</v>
      </c>
      <c r="Q115" s="642">
        <f>VLOOKUP(P115,Apoio!C:E,2,0)</f>
        <v>240000</v>
      </c>
      <c r="R115" s="609">
        <v>240000</v>
      </c>
      <c r="S115" s="359">
        <v>5</v>
      </c>
    </row>
    <row r="116" spans="15:19" ht="12.75" customHeight="1" thickBot="1" x14ac:dyDescent="0.25">
      <c r="O116" s="43">
        <v>101</v>
      </c>
      <c r="P116" s="607" t="s">
        <v>410</v>
      </c>
      <c r="Q116" s="642">
        <f>VLOOKUP(P116,Apoio!C:E,2,0)</f>
        <v>240000</v>
      </c>
      <c r="R116" s="609">
        <v>240000</v>
      </c>
      <c r="S116" s="359">
        <v>5</v>
      </c>
    </row>
    <row r="117" spans="15:19" ht="12.75" customHeight="1" thickBot="1" x14ac:dyDescent="0.25">
      <c r="O117" s="45">
        <v>102</v>
      </c>
      <c r="P117" s="607" t="s">
        <v>411</v>
      </c>
      <c r="Q117" s="642">
        <f>VLOOKUP(P117,Apoio!C:E,2,0)</f>
        <v>240000</v>
      </c>
      <c r="R117" s="609">
        <v>240000</v>
      </c>
      <c r="S117" s="359">
        <v>5</v>
      </c>
    </row>
    <row r="118" spans="15:19" ht="12.75" customHeight="1" thickBot="1" x14ac:dyDescent="0.25">
      <c r="O118" s="43">
        <v>103</v>
      </c>
      <c r="P118" s="607" t="s">
        <v>412</v>
      </c>
      <c r="Q118" s="642">
        <f>VLOOKUP(P118,Apoio!C:E,2,0)</f>
        <v>240000</v>
      </c>
      <c r="R118" s="609">
        <v>240000</v>
      </c>
      <c r="S118" s="359">
        <v>5</v>
      </c>
    </row>
    <row r="119" spans="15:19" ht="12.75" customHeight="1" thickBot="1" x14ac:dyDescent="0.25">
      <c r="O119" s="45">
        <v>104</v>
      </c>
      <c r="P119" s="607" t="s">
        <v>413</v>
      </c>
      <c r="Q119" s="642">
        <f>VLOOKUP(P119,Apoio!C:E,2,0)</f>
        <v>240000</v>
      </c>
      <c r="R119" s="609">
        <v>240000</v>
      </c>
      <c r="S119" s="359">
        <v>5</v>
      </c>
    </row>
    <row r="120" spans="15:19" ht="12.75" customHeight="1" thickBot="1" x14ac:dyDescent="0.25">
      <c r="O120" s="43">
        <v>105</v>
      </c>
      <c r="P120" s="607" t="s">
        <v>414</v>
      </c>
      <c r="Q120" s="642">
        <f>VLOOKUP(P120,Apoio!C:E,2,0)</f>
        <v>240000</v>
      </c>
      <c r="R120" s="609">
        <v>240000</v>
      </c>
      <c r="S120" s="359">
        <v>5</v>
      </c>
    </row>
    <row r="121" spans="15:19" ht="12.75" customHeight="1" thickBot="1" x14ac:dyDescent="0.25">
      <c r="O121" s="45">
        <v>106</v>
      </c>
      <c r="P121" s="607" t="s">
        <v>415</v>
      </c>
      <c r="Q121" s="642">
        <f>VLOOKUP(P121,Apoio!C:E,2,0)</f>
        <v>240000</v>
      </c>
      <c r="R121" s="609">
        <v>240000</v>
      </c>
      <c r="S121" s="359">
        <v>5</v>
      </c>
    </row>
    <row r="122" spans="15:19" ht="12.75" customHeight="1" thickBot="1" x14ac:dyDescent="0.25">
      <c r="O122" s="43">
        <v>107</v>
      </c>
      <c r="P122" s="607" t="s">
        <v>416</v>
      </c>
      <c r="Q122" s="642">
        <f>VLOOKUP(P122,Apoio!C:E,2,0)</f>
        <v>240000</v>
      </c>
      <c r="R122" s="609">
        <v>240000</v>
      </c>
      <c r="S122" s="359">
        <v>5</v>
      </c>
    </row>
    <row r="123" spans="15:19" ht="12.75" customHeight="1" thickBot="1" x14ac:dyDescent="0.25">
      <c r="O123" s="45">
        <v>108</v>
      </c>
      <c r="P123" s="607" t="s">
        <v>417</v>
      </c>
      <c r="Q123" s="642">
        <f>VLOOKUP(P123,Apoio!C:E,2,0)</f>
        <v>240000</v>
      </c>
      <c r="R123" s="609">
        <v>240000</v>
      </c>
      <c r="S123" s="359">
        <v>5</v>
      </c>
    </row>
    <row r="124" spans="15:19" ht="12.75" customHeight="1" thickBot="1" x14ac:dyDescent="0.25">
      <c r="O124" s="43">
        <v>109</v>
      </c>
      <c r="P124" s="607" t="s">
        <v>418</v>
      </c>
      <c r="Q124" s="642">
        <f>VLOOKUP(P124,Apoio!C:E,2,0)</f>
        <v>240000</v>
      </c>
      <c r="R124" s="609">
        <v>240000</v>
      </c>
      <c r="S124" s="359">
        <v>5</v>
      </c>
    </row>
    <row r="125" spans="15:19" ht="12.75" customHeight="1" thickBot="1" x14ac:dyDescent="0.25">
      <c r="O125" s="45">
        <v>110</v>
      </c>
      <c r="P125" s="607" t="s">
        <v>419</v>
      </c>
      <c r="Q125" s="642">
        <f>VLOOKUP(P125,Apoio!C:E,2,0)</f>
        <v>240000</v>
      </c>
      <c r="R125" s="609">
        <v>240000</v>
      </c>
      <c r="S125" s="359">
        <v>5</v>
      </c>
    </row>
    <row r="126" spans="15:19" ht="12.75" customHeight="1" thickBot="1" x14ac:dyDescent="0.25">
      <c r="O126" s="43">
        <v>111</v>
      </c>
      <c r="P126" s="607" t="s">
        <v>420</v>
      </c>
      <c r="Q126" s="642">
        <f>VLOOKUP(P126,Apoio!C:E,2,0)</f>
        <v>240000</v>
      </c>
      <c r="R126" s="609">
        <v>240000</v>
      </c>
      <c r="S126" s="359">
        <v>5</v>
      </c>
    </row>
    <row r="127" spans="15:19" ht="12.75" customHeight="1" thickBot="1" x14ac:dyDescent="0.25">
      <c r="O127" s="45">
        <v>112</v>
      </c>
      <c r="P127" s="607" t="s">
        <v>421</v>
      </c>
      <c r="Q127" s="642">
        <f>VLOOKUP(P127,Apoio!C:E,2,0)</f>
        <v>240000</v>
      </c>
      <c r="R127" s="609">
        <v>240000</v>
      </c>
      <c r="S127" s="359">
        <v>5</v>
      </c>
    </row>
    <row r="128" spans="15:19" ht="12.75" customHeight="1" thickBot="1" x14ac:dyDescent="0.25">
      <c r="O128" s="43">
        <v>113</v>
      </c>
      <c r="P128" s="607" t="s">
        <v>422</v>
      </c>
      <c r="Q128" s="642">
        <f>VLOOKUP(P128,Apoio!C:E,2,0)</f>
        <v>240000</v>
      </c>
      <c r="R128" s="609">
        <v>240000</v>
      </c>
      <c r="S128" s="359">
        <v>5</v>
      </c>
    </row>
    <row r="129" spans="15:19" ht="12.75" customHeight="1" thickBot="1" x14ac:dyDescent="0.25">
      <c r="O129" s="45">
        <v>114</v>
      </c>
      <c r="P129" s="607" t="s">
        <v>423</v>
      </c>
      <c r="Q129" s="642">
        <f>VLOOKUP(P129,Apoio!C:E,2,0)</f>
        <v>240000</v>
      </c>
      <c r="R129" s="609">
        <v>240000</v>
      </c>
      <c r="S129" s="359">
        <v>5</v>
      </c>
    </row>
    <row r="130" spans="15:19" ht="12.75" customHeight="1" thickBot="1" x14ac:dyDescent="0.25">
      <c r="O130" s="43">
        <v>115</v>
      </c>
      <c r="P130" s="607" t="s">
        <v>424</v>
      </c>
      <c r="Q130" s="642">
        <f>VLOOKUP(P130,Apoio!C:E,2,0)</f>
        <v>240000</v>
      </c>
      <c r="R130" s="609">
        <v>240000</v>
      </c>
      <c r="S130" s="359">
        <v>5</v>
      </c>
    </row>
    <row r="131" spans="15:19" ht="12.75" customHeight="1" thickBot="1" x14ac:dyDescent="0.25">
      <c r="O131" s="45">
        <v>116</v>
      </c>
      <c r="P131" s="607" t="s">
        <v>425</v>
      </c>
      <c r="Q131" s="642">
        <f>VLOOKUP(P131,Apoio!C:E,2,0)</f>
        <v>240000</v>
      </c>
      <c r="R131" s="609">
        <v>240000</v>
      </c>
      <c r="S131" s="359">
        <v>5</v>
      </c>
    </row>
    <row r="132" spans="15:19" ht="12.75" customHeight="1" thickBot="1" x14ac:dyDescent="0.25">
      <c r="O132" s="43">
        <v>117</v>
      </c>
      <c r="P132" s="607" t="s">
        <v>426</v>
      </c>
      <c r="Q132" s="642">
        <f>VLOOKUP(P132,Apoio!C:E,2,0)</f>
        <v>240000</v>
      </c>
      <c r="R132" s="609">
        <v>240000</v>
      </c>
      <c r="S132" s="359">
        <v>5</v>
      </c>
    </row>
    <row r="133" spans="15:19" ht="12.75" customHeight="1" thickBot="1" x14ac:dyDescent="0.25">
      <c r="O133" s="45">
        <v>118</v>
      </c>
      <c r="P133" s="607" t="s">
        <v>427</v>
      </c>
      <c r="Q133" s="642">
        <f>VLOOKUP(P133,Apoio!C:E,2,0)</f>
        <v>240000</v>
      </c>
      <c r="R133" s="609">
        <v>240000</v>
      </c>
      <c r="S133" s="359">
        <v>5</v>
      </c>
    </row>
    <row r="134" spans="15:19" ht="12.75" customHeight="1" thickBot="1" x14ac:dyDescent="0.25">
      <c r="O134" s="43">
        <v>119</v>
      </c>
      <c r="P134" s="607" t="s">
        <v>428</v>
      </c>
      <c r="Q134" s="642">
        <f>VLOOKUP(P134,Apoio!C:E,2,0)</f>
        <v>227420</v>
      </c>
      <c r="R134" s="609">
        <v>240000</v>
      </c>
      <c r="S134" s="359">
        <v>5</v>
      </c>
    </row>
    <row r="135" spans="15:19" ht="12.75" customHeight="1" thickBot="1" x14ac:dyDescent="0.25">
      <c r="O135" s="45">
        <v>120</v>
      </c>
      <c r="P135" s="607" t="s">
        <v>429</v>
      </c>
      <c r="Q135" s="642">
        <f>VLOOKUP(P135,Apoio!C:E,2,0)</f>
        <v>227420</v>
      </c>
      <c r="R135" s="609">
        <v>240000</v>
      </c>
      <c r="S135" s="359">
        <v>5</v>
      </c>
    </row>
    <row r="136" spans="15:19" ht="12.75" customHeight="1" thickBot="1" x14ac:dyDescent="0.25">
      <c r="O136" s="43">
        <v>121</v>
      </c>
      <c r="P136" s="607" t="s">
        <v>430</v>
      </c>
      <c r="Q136" s="642">
        <f>VLOOKUP(P136,Apoio!C:E,2,0)</f>
        <v>227420</v>
      </c>
      <c r="R136" s="609">
        <v>240000</v>
      </c>
      <c r="S136" s="359">
        <v>5</v>
      </c>
    </row>
    <row r="137" spans="15:19" ht="12.75" customHeight="1" thickBot="1" x14ac:dyDescent="0.25">
      <c r="O137" s="45">
        <v>122</v>
      </c>
      <c r="P137" s="607" t="s">
        <v>431</v>
      </c>
      <c r="Q137" s="642">
        <f>VLOOKUP(P137,Apoio!C:E,2,0)</f>
        <v>240000</v>
      </c>
      <c r="R137" s="609">
        <v>240000</v>
      </c>
      <c r="S137" s="359">
        <v>5</v>
      </c>
    </row>
    <row r="138" spans="15:19" ht="12.75" customHeight="1" thickBot="1" x14ac:dyDescent="0.25">
      <c r="O138" s="43">
        <v>123</v>
      </c>
      <c r="P138" s="607" t="s">
        <v>432</v>
      </c>
      <c r="Q138" s="642">
        <f>VLOOKUP(P138,Apoio!C:E,2,0)</f>
        <v>240000</v>
      </c>
      <c r="R138" s="609">
        <v>240000</v>
      </c>
      <c r="S138" s="359">
        <v>5</v>
      </c>
    </row>
    <row r="139" spans="15:19" ht="12.75" customHeight="1" thickBot="1" x14ac:dyDescent="0.25">
      <c r="O139" s="45">
        <v>124</v>
      </c>
      <c r="P139" s="607" t="s">
        <v>433</v>
      </c>
      <c r="Q139" s="642">
        <f>VLOOKUP(P139,Apoio!C:E,2,0)</f>
        <v>227420</v>
      </c>
      <c r="R139" s="609">
        <v>240000</v>
      </c>
      <c r="S139" s="359">
        <v>5</v>
      </c>
    </row>
    <row r="140" spans="15:19" ht="12.75" customHeight="1" thickBot="1" x14ac:dyDescent="0.25">
      <c r="O140" s="43">
        <v>125</v>
      </c>
      <c r="P140" s="607" t="s">
        <v>434</v>
      </c>
      <c r="Q140" s="642">
        <f>VLOOKUP(P140,Apoio!C:E,2,0)</f>
        <v>227420</v>
      </c>
      <c r="R140" s="609">
        <v>240000</v>
      </c>
      <c r="S140" s="359">
        <v>5</v>
      </c>
    </row>
    <row r="141" spans="15:19" ht="12.75" customHeight="1" thickBot="1" x14ac:dyDescent="0.25">
      <c r="O141" s="45">
        <v>126</v>
      </c>
      <c r="P141" s="607" t="s">
        <v>435</v>
      </c>
      <c r="Q141" s="642">
        <f>VLOOKUP(P141,Apoio!C:E,2,0)</f>
        <v>240000</v>
      </c>
      <c r="R141" s="609">
        <v>240000</v>
      </c>
      <c r="S141" s="359">
        <v>5</v>
      </c>
    </row>
    <row r="142" spans="15:19" ht="12.75" customHeight="1" thickBot="1" x14ac:dyDescent="0.25">
      <c r="O142" s="43">
        <v>127</v>
      </c>
      <c r="P142" s="607"/>
      <c r="Q142" s="642"/>
      <c r="R142" s="608"/>
      <c r="S142" s="359">
        <v>5</v>
      </c>
    </row>
    <row r="143" spans="15:19" ht="12.75" customHeight="1" thickBot="1" x14ac:dyDescent="0.25">
      <c r="O143" s="45">
        <v>128</v>
      </c>
      <c r="P143" s="607"/>
      <c r="Q143" s="642"/>
      <c r="R143" s="608"/>
      <c r="S143" s="359">
        <v>5</v>
      </c>
    </row>
    <row r="144" spans="15:19" ht="12.75" customHeight="1" thickBot="1" x14ac:dyDescent="0.25">
      <c r="O144" s="43">
        <v>129</v>
      </c>
      <c r="P144" s="607"/>
      <c r="Q144" s="642"/>
      <c r="R144" s="608"/>
      <c r="S144" s="359">
        <v>5</v>
      </c>
    </row>
    <row r="145" spans="15:19" ht="12.75" customHeight="1" thickBot="1" x14ac:dyDescent="0.25">
      <c r="O145" s="45">
        <v>130</v>
      </c>
      <c r="P145" s="607"/>
      <c r="Q145" s="642"/>
      <c r="R145" s="608"/>
      <c r="S145" s="359">
        <v>5</v>
      </c>
    </row>
    <row r="146" spans="15:19" ht="12.75" customHeight="1" thickBot="1" x14ac:dyDescent="0.25">
      <c r="O146" s="43">
        <v>131</v>
      </c>
      <c r="P146" s="607"/>
      <c r="Q146" s="642"/>
      <c r="R146" s="608"/>
      <c r="S146" s="359">
        <v>5</v>
      </c>
    </row>
    <row r="147" spans="15:19" ht="12.75" customHeight="1" thickBot="1" x14ac:dyDescent="0.25">
      <c r="O147" s="45">
        <v>132</v>
      </c>
      <c r="P147" s="607"/>
      <c r="Q147" s="642"/>
      <c r="R147" s="608"/>
      <c r="S147" s="359">
        <v>5</v>
      </c>
    </row>
    <row r="148" spans="15:19" ht="12.75" customHeight="1" thickBot="1" x14ac:dyDescent="0.25">
      <c r="O148" s="43">
        <v>133</v>
      </c>
      <c r="P148" s="607"/>
      <c r="Q148" s="642"/>
      <c r="R148" s="608"/>
      <c r="S148" s="359">
        <v>5</v>
      </c>
    </row>
    <row r="149" spans="15:19" ht="12.75" customHeight="1" thickBot="1" x14ac:dyDescent="0.25">
      <c r="O149" s="45">
        <v>134</v>
      </c>
      <c r="P149" s="607"/>
      <c r="Q149" s="642"/>
      <c r="R149" s="608"/>
      <c r="S149" s="359">
        <v>5</v>
      </c>
    </row>
    <row r="150" spans="15:19" ht="12.75" customHeight="1" thickBot="1" x14ac:dyDescent="0.25">
      <c r="O150" s="43">
        <v>135</v>
      </c>
      <c r="P150" s="607"/>
      <c r="Q150" s="642"/>
      <c r="R150" s="608"/>
      <c r="S150" s="359">
        <v>5</v>
      </c>
    </row>
    <row r="151" spans="15:19" ht="12.75" customHeight="1" thickBot="1" x14ac:dyDescent="0.25">
      <c r="O151" s="45">
        <v>136</v>
      </c>
      <c r="P151" s="607"/>
      <c r="Q151" s="642"/>
      <c r="R151" s="608"/>
      <c r="S151" s="359">
        <v>5</v>
      </c>
    </row>
    <row r="152" spans="15:19" ht="12.75" customHeight="1" thickBot="1" x14ac:dyDescent="0.25">
      <c r="O152" s="43">
        <v>137</v>
      </c>
      <c r="P152" s="607"/>
      <c r="Q152" s="642"/>
      <c r="R152" s="608"/>
      <c r="S152" s="359">
        <v>5</v>
      </c>
    </row>
    <row r="153" spans="15:19" ht="12.75" customHeight="1" thickBot="1" x14ac:dyDescent="0.25">
      <c r="O153" s="45">
        <v>138</v>
      </c>
      <c r="P153" s="607"/>
      <c r="Q153" s="642"/>
      <c r="R153" s="608"/>
      <c r="S153" s="359">
        <v>5</v>
      </c>
    </row>
    <row r="154" spans="15:19" ht="12.75" customHeight="1" thickBot="1" x14ac:dyDescent="0.25">
      <c r="O154" s="43">
        <v>139</v>
      </c>
      <c r="P154" s="607"/>
      <c r="Q154" s="642"/>
      <c r="R154" s="608"/>
      <c r="S154" s="359">
        <v>5</v>
      </c>
    </row>
    <row r="155" spans="15:19" ht="12.75" customHeight="1" thickBot="1" x14ac:dyDescent="0.25">
      <c r="O155" s="45">
        <v>140</v>
      </c>
      <c r="P155" s="607"/>
      <c r="Q155" s="642"/>
      <c r="R155" s="608"/>
      <c r="S155" s="359">
        <v>5</v>
      </c>
    </row>
    <row r="156" spans="15:19" ht="12.75" customHeight="1" thickBot="1" x14ac:dyDescent="0.25">
      <c r="O156" s="43">
        <v>141</v>
      </c>
      <c r="P156" s="607"/>
      <c r="Q156" s="642"/>
      <c r="R156" s="608"/>
      <c r="S156" s="359">
        <v>5</v>
      </c>
    </row>
    <row r="157" spans="15:19" ht="12.75" customHeight="1" thickBot="1" x14ac:dyDescent="0.25">
      <c r="O157" s="45">
        <v>142</v>
      </c>
      <c r="P157" s="607"/>
      <c r="Q157" s="642"/>
      <c r="R157" s="608"/>
      <c r="S157" s="359">
        <v>5</v>
      </c>
    </row>
    <row r="158" spans="15:19" ht="12.75" customHeight="1" thickBot="1" x14ac:dyDescent="0.25">
      <c r="O158" s="43">
        <v>143</v>
      </c>
      <c r="P158" s="607"/>
      <c r="Q158" s="642"/>
      <c r="R158" s="608"/>
      <c r="S158" s="359">
        <v>5</v>
      </c>
    </row>
    <row r="159" spans="15:19" ht="12.75" customHeight="1" thickBot="1" x14ac:dyDescent="0.25">
      <c r="O159" s="45">
        <v>144</v>
      </c>
      <c r="P159" s="607"/>
      <c r="Q159" s="642"/>
      <c r="R159" s="608"/>
      <c r="S159" s="359">
        <v>5</v>
      </c>
    </row>
    <row r="160" spans="15:19" ht="12.75" customHeight="1" thickBot="1" x14ac:dyDescent="0.25">
      <c r="O160" s="43">
        <v>145</v>
      </c>
      <c r="P160" s="607"/>
      <c r="Q160" s="642"/>
      <c r="R160" s="608"/>
      <c r="S160" s="359">
        <v>5</v>
      </c>
    </row>
    <row r="161" spans="15:19" ht="12.75" customHeight="1" thickBot="1" x14ac:dyDescent="0.25">
      <c r="O161" s="45">
        <v>146</v>
      </c>
      <c r="P161" s="607"/>
      <c r="Q161" s="642"/>
      <c r="R161" s="608"/>
      <c r="S161" s="359">
        <v>5</v>
      </c>
    </row>
    <row r="162" spans="15:19" ht="12.75" customHeight="1" thickBot="1" x14ac:dyDescent="0.25">
      <c r="O162" s="43">
        <v>147</v>
      </c>
      <c r="P162" s="607"/>
      <c r="Q162" s="642"/>
      <c r="R162" s="608"/>
      <c r="S162" s="359">
        <v>5</v>
      </c>
    </row>
    <row r="163" spans="15:19" ht="12.75" customHeight="1" thickBot="1" x14ac:dyDescent="0.25">
      <c r="O163" s="45">
        <v>148</v>
      </c>
      <c r="P163" s="607"/>
      <c r="Q163" s="642"/>
      <c r="R163" s="608"/>
      <c r="S163" s="359">
        <v>5</v>
      </c>
    </row>
    <row r="164" spans="15:19" ht="12.75" customHeight="1" thickBot="1" x14ac:dyDescent="0.25">
      <c r="O164" s="43">
        <v>149</v>
      </c>
      <c r="P164" s="607"/>
      <c r="Q164" s="642"/>
      <c r="R164" s="608"/>
      <c r="S164" s="359">
        <v>5</v>
      </c>
    </row>
    <row r="165" spans="15:19" ht="12.75" customHeight="1" thickBot="1" x14ac:dyDescent="0.25">
      <c r="O165" s="45">
        <v>150</v>
      </c>
      <c r="P165" s="607"/>
      <c r="Q165" s="642"/>
      <c r="R165" s="608"/>
      <c r="S165" s="359">
        <v>5</v>
      </c>
    </row>
    <row r="166" spans="15:19" ht="12.75" customHeight="1" thickBot="1" x14ac:dyDescent="0.25">
      <c r="O166" s="43">
        <v>151</v>
      </c>
      <c r="P166" s="607"/>
      <c r="Q166" s="642"/>
      <c r="R166" s="608"/>
      <c r="S166" s="359">
        <v>5</v>
      </c>
    </row>
    <row r="167" spans="15:19" ht="12.75" customHeight="1" thickBot="1" x14ac:dyDescent="0.25">
      <c r="O167" s="45">
        <v>152</v>
      </c>
      <c r="P167" s="607"/>
      <c r="Q167" s="642"/>
      <c r="R167" s="608"/>
      <c r="S167" s="359">
        <v>5</v>
      </c>
    </row>
    <row r="168" spans="15:19" ht="12.75" customHeight="1" thickBot="1" x14ac:dyDescent="0.25">
      <c r="O168" s="43">
        <v>153</v>
      </c>
      <c r="P168" s="607"/>
      <c r="Q168" s="642"/>
      <c r="R168" s="608"/>
      <c r="S168" s="359">
        <v>5</v>
      </c>
    </row>
    <row r="169" spans="15:19" ht="12.75" customHeight="1" thickBot="1" x14ac:dyDescent="0.25">
      <c r="O169" s="45">
        <v>154</v>
      </c>
      <c r="P169" s="607"/>
      <c r="Q169" s="642"/>
      <c r="R169" s="608"/>
      <c r="S169" s="359">
        <v>5</v>
      </c>
    </row>
    <row r="170" spans="15:19" ht="12.75" customHeight="1" thickBot="1" x14ac:dyDescent="0.25">
      <c r="O170" s="43">
        <v>155</v>
      </c>
      <c r="P170" s="607"/>
      <c r="Q170" s="642"/>
      <c r="R170" s="608"/>
      <c r="S170" s="359">
        <v>5</v>
      </c>
    </row>
    <row r="171" spans="15:19" ht="12.75" customHeight="1" thickBot="1" x14ac:dyDescent="0.25">
      <c r="O171" s="45">
        <v>156</v>
      </c>
      <c r="P171" s="607"/>
      <c r="Q171" s="642"/>
      <c r="R171" s="608"/>
      <c r="S171" s="359">
        <v>5</v>
      </c>
    </row>
    <row r="172" spans="15:19" ht="12.75" customHeight="1" thickBot="1" x14ac:dyDescent="0.25">
      <c r="O172" s="43">
        <v>157</v>
      </c>
      <c r="P172" s="607"/>
      <c r="Q172" s="642"/>
      <c r="R172" s="608"/>
      <c r="S172" s="359">
        <v>5</v>
      </c>
    </row>
    <row r="173" spans="15:19" ht="12.75" customHeight="1" thickBot="1" x14ac:dyDescent="0.25">
      <c r="O173" s="45">
        <v>158</v>
      </c>
      <c r="P173" s="607"/>
      <c r="Q173" s="642"/>
      <c r="R173" s="608"/>
      <c r="S173" s="359">
        <v>5</v>
      </c>
    </row>
    <row r="174" spans="15:19" ht="12.75" customHeight="1" thickBot="1" x14ac:dyDescent="0.25">
      <c r="O174" s="43">
        <v>159</v>
      </c>
      <c r="P174" s="607"/>
      <c r="Q174" s="642"/>
      <c r="R174" s="608"/>
      <c r="S174" s="359">
        <v>5</v>
      </c>
    </row>
    <row r="175" spans="15:19" ht="12.75" customHeight="1" thickBot="1" x14ac:dyDescent="0.25">
      <c r="O175" s="45">
        <v>160</v>
      </c>
      <c r="P175" s="607"/>
      <c r="Q175" s="642"/>
      <c r="R175" s="608"/>
      <c r="S175" s="359">
        <v>5</v>
      </c>
    </row>
    <row r="176" spans="15:19" ht="12.75" customHeight="1" thickBot="1" x14ac:dyDescent="0.25">
      <c r="O176" s="43">
        <v>161</v>
      </c>
      <c r="P176" s="607"/>
      <c r="Q176" s="642"/>
      <c r="R176" s="608"/>
      <c r="S176" s="359">
        <v>5</v>
      </c>
    </row>
    <row r="177" spans="15:27" ht="12.75" customHeight="1" thickBot="1" x14ac:dyDescent="0.25">
      <c r="O177" s="45">
        <v>162</v>
      </c>
      <c r="P177" s="607"/>
      <c r="Q177" s="642"/>
      <c r="R177" s="608"/>
      <c r="S177" s="359">
        <v>5</v>
      </c>
    </row>
    <row r="178" spans="15:27" ht="13.5" thickBot="1" x14ac:dyDescent="0.25">
      <c r="O178" s="43">
        <v>163</v>
      </c>
      <c r="P178" s="607"/>
      <c r="Q178" s="642"/>
      <c r="R178" s="608"/>
      <c r="S178" s="359">
        <v>5</v>
      </c>
      <c r="U178" s="385"/>
      <c r="V178" s="357"/>
      <c r="Z178" s="385"/>
      <c r="AA178" s="539"/>
    </row>
    <row r="179" spans="15:27" ht="13.5" thickBot="1" x14ac:dyDescent="0.25">
      <c r="O179" s="45">
        <v>164</v>
      </c>
      <c r="P179" s="607"/>
      <c r="Q179" s="642"/>
      <c r="R179" s="608"/>
      <c r="S179" s="359">
        <v>5</v>
      </c>
      <c r="U179" s="385"/>
      <c r="V179" s="357"/>
      <c r="Z179" s="385"/>
      <c r="AA179" s="539"/>
    </row>
    <row r="180" spans="15:27" ht="13.5" thickBot="1" x14ac:dyDescent="0.25">
      <c r="O180" s="43">
        <v>165</v>
      </c>
      <c r="P180" s="607"/>
      <c r="Q180" s="642"/>
      <c r="R180" s="608"/>
      <c r="S180" s="359">
        <v>5</v>
      </c>
      <c r="U180" s="385"/>
      <c r="V180" s="357"/>
      <c r="Z180" s="385"/>
      <c r="AA180" s="539"/>
    </row>
    <row r="181" spans="15:27" ht="13.5" thickBot="1" x14ac:dyDescent="0.25">
      <c r="O181" s="45">
        <v>166</v>
      </c>
      <c r="P181" s="607"/>
      <c r="Q181" s="642"/>
      <c r="R181" s="608"/>
      <c r="S181" s="359">
        <v>5</v>
      </c>
      <c r="U181" s="385"/>
      <c r="V181" s="357"/>
      <c r="Z181" s="385"/>
      <c r="AA181" s="539"/>
    </row>
    <row r="182" spans="15:27" ht="13.5" thickBot="1" x14ac:dyDescent="0.25">
      <c r="O182" s="43">
        <v>167</v>
      </c>
      <c r="P182" s="607"/>
      <c r="Q182" s="642"/>
      <c r="R182" s="608"/>
      <c r="S182" s="359">
        <v>5</v>
      </c>
      <c r="U182" s="385"/>
      <c r="V182" s="357"/>
      <c r="Z182" s="385"/>
      <c r="AA182" s="539"/>
    </row>
    <row r="183" spans="15:27" ht="13.5" thickBot="1" x14ac:dyDescent="0.25">
      <c r="O183" s="45">
        <v>168</v>
      </c>
      <c r="P183" s="607"/>
      <c r="Q183" s="642"/>
      <c r="R183" s="608"/>
      <c r="S183" s="359">
        <v>5</v>
      </c>
      <c r="U183" s="385"/>
      <c r="V183" s="357"/>
      <c r="Z183" s="385"/>
      <c r="AA183" s="539"/>
    </row>
    <row r="184" spans="15:27" ht="13.5" thickBot="1" x14ac:dyDescent="0.25">
      <c r="O184" s="43">
        <v>169</v>
      </c>
      <c r="P184" s="607"/>
      <c r="Q184" s="642"/>
      <c r="R184" s="608"/>
      <c r="S184" s="359">
        <v>5</v>
      </c>
      <c r="U184" s="385"/>
      <c r="V184" s="357"/>
      <c r="Z184" s="385"/>
      <c r="AA184" s="539"/>
    </row>
    <row r="185" spans="15:27" ht="13.5" thickBot="1" x14ac:dyDescent="0.25">
      <c r="O185" s="45">
        <v>170</v>
      </c>
      <c r="P185" s="607"/>
      <c r="Q185" s="642"/>
      <c r="R185" s="608"/>
      <c r="S185" s="359">
        <v>5</v>
      </c>
      <c r="U185" s="385"/>
      <c r="V185" s="357"/>
      <c r="Z185" s="385"/>
      <c r="AA185" s="539"/>
    </row>
    <row r="186" spans="15:27" ht="13.5" thickBot="1" x14ac:dyDescent="0.25">
      <c r="O186" s="43">
        <v>171</v>
      </c>
      <c r="P186" s="607"/>
      <c r="Q186" s="642"/>
      <c r="R186" s="608"/>
      <c r="S186" s="359">
        <v>5</v>
      </c>
      <c r="U186" s="385"/>
      <c r="V186" s="357"/>
      <c r="Z186" s="385"/>
      <c r="AA186" s="539"/>
    </row>
    <row r="187" spans="15:27" ht="13.5" thickBot="1" x14ac:dyDescent="0.25">
      <c r="O187" s="45">
        <v>172</v>
      </c>
      <c r="P187" s="607"/>
      <c r="Q187" s="642"/>
      <c r="R187" s="608"/>
      <c r="S187" s="359">
        <v>5</v>
      </c>
      <c r="U187" s="385"/>
      <c r="V187" s="357"/>
      <c r="Z187" s="385"/>
      <c r="AA187" s="539"/>
    </row>
    <row r="188" spans="15:27" ht="13.5" thickBot="1" x14ac:dyDescent="0.25">
      <c r="O188" s="43">
        <v>173</v>
      </c>
      <c r="P188" s="607"/>
      <c r="Q188" s="642"/>
      <c r="R188" s="608"/>
      <c r="S188" s="359">
        <v>5</v>
      </c>
      <c r="U188" s="385"/>
      <c r="V188" s="357"/>
      <c r="Z188" s="385"/>
      <c r="AA188" s="539"/>
    </row>
    <row r="189" spans="15:27" ht="13.5" thickBot="1" x14ac:dyDescent="0.25">
      <c r="O189" s="45">
        <v>174</v>
      </c>
      <c r="P189" s="607"/>
      <c r="Q189" s="642"/>
      <c r="R189" s="608"/>
      <c r="S189" s="359">
        <v>5</v>
      </c>
    </row>
    <row r="190" spans="15:27" ht="13.5" thickBot="1" x14ac:dyDescent="0.25">
      <c r="O190" s="43">
        <v>175</v>
      </c>
      <c r="P190" s="607"/>
      <c r="Q190" s="642"/>
      <c r="R190" s="608"/>
      <c r="S190" s="359">
        <v>5</v>
      </c>
    </row>
    <row r="191" spans="15:27" ht="13.5" thickBot="1" x14ac:dyDescent="0.25">
      <c r="O191" s="45">
        <v>176</v>
      </c>
      <c r="P191" s="607"/>
      <c r="Q191" s="642"/>
      <c r="R191" s="608"/>
      <c r="S191" s="359">
        <v>5</v>
      </c>
    </row>
    <row r="192" spans="15:27" ht="13.5" thickBot="1" x14ac:dyDescent="0.25">
      <c r="O192" s="43">
        <v>177</v>
      </c>
      <c r="P192" s="607"/>
      <c r="Q192" s="642"/>
      <c r="R192" s="608"/>
      <c r="S192" s="359">
        <v>5</v>
      </c>
    </row>
    <row r="193" spans="15:19" ht="13.5" thickBot="1" x14ac:dyDescent="0.25">
      <c r="O193" s="45">
        <v>178</v>
      </c>
      <c r="P193" s="607"/>
      <c r="Q193" s="642"/>
      <c r="R193" s="608"/>
      <c r="S193" s="359">
        <v>5</v>
      </c>
    </row>
    <row r="194" spans="15:19" ht="13.5" thickBot="1" x14ac:dyDescent="0.25">
      <c r="O194" s="43">
        <v>179</v>
      </c>
      <c r="P194" s="607"/>
      <c r="Q194" s="642"/>
      <c r="R194" s="608"/>
      <c r="S194" s="359">
        <v>5</v>
      </c>
    </row>
    <row r="195" spans="15:19" ht="13.5" thickBot="1" x14ac:dyDescent="0.25">
      <c r="O195" s="45">
        <v>180</v>
      </c>
      <c r="P195" s="607"/>
      <c r="Q195" s="642"/>
      <c r="R195" s="608"/>
      <c r="S195" s="359">
        <v>5</v>
      </c>
    </row>
    <row r="196" spans="15:19" ht="13.5" thickBot="1" x14ac:dyDescent="0.25">
      <c r="O196" s="43">
        <v>181</v>
      </c>
      <c r="P196" s="607"/>
      <c r="Q196" s="642"/>
      <c r="R196" s="608"/>
      <c r="S196" s="359">
        <v>5</v>
      </c>
    </row>
    <row r="197" spans="15:19" ht="13.5" thickBot="1" x14ac:dyDescent="0.25">
      <c r="O197" s="45">
        <v>182</v>
      </c>
      <c r="P197" s="607"/>
      <c r="Q197" s="642"/>
      <c r="R197" s="608"/>
      <c r="S197" s="359">
        <v>5</v>
      </c>
    </row>
    <row r="198" spans="15:19" ht="13.5" thickBot="1" x14ac:dyDescent="0.25">
      <c r="O198" s="43">
        <v>183</v>
      </c>
      <c r="P198" s="607"/>
      <c r="Q198" s="642"/>
      <c r="R198" s="608"/>
      <c r="S198" s="359">
        <v>5</v>
      </c>
    </row>
    <row r="199" spans="15:19" ht="13.5" thickBot="1" x14ac:dyDescent="0.25">
      <c r="O199" s="45">
        <v>184</v>
      </c>
      <c r="P199" s="607"/>
      <c r="Q199" s="642"/>
      <c r="R199" s="608"/>
      <c r="S199" s="359">
        <v>5</v>
      </c>
    </row>
    <row r="200" spans="15:19" ht="13.5" thickBot="1" x14ac:dyDescent="0.25">
      <c r="O200" s="43">
        <v>185</v>
      </c>
      <c r="P200" s="607"/>
      <c r="Q200" s="642"/>
      <c r="R200" s="608"/>
      <c r="S200" s="359">
        <v>5</v>
      </c>
    </row>
    <row r="201" spans="15:19" ht="13.5" thickBot="1" x14ac:dyDescent="0.25">
      <c r="O201" s="45">
        <v>186</v>
      </c>
      <c r="P201" s="607"/>
      <c r="Q201" s="642"/>
      <c r="R201" s="608"/>
      <c r="S201" s="359">
        <v>5</v>
      </c>
    </row>
    <row r="202" spans="15:19" ht="13.5" thickBot="1" x14ac:dyDescent="0.25">
      <c r="O202" s="43">
        <v>187</v>
      </c>
      <c r="P202" s="607"/>
      <c r="Q202" s="642"/>
      <c r="R202" s="608"/>
      <c r="S202" s="359">
        <v>5</v>
      </c>
    </row>
    <row r="203" spans="15:19" ht="13.5" thickBot="1" x14ac:dyDescent="0.25">
      <c r="O203" s="45">
        <v>188</v>
      </c>
      <c r="P203" s="607"/>
      <c r="Q203" s="642"/>
      <c r="R203" s="608"/>
      <c r="S203" s="359">
        <v>5</v>
      </c>
    </row>
    <row r="204" spans="15:19" ht="13.5" thickBot="1" x14ac:dyDescent="0.25">
      <c r="O204" s="43">
        <v>189</v>
      </c>
      <c r="P204" s="607"/>
      <c r="Q204" s="642"/>
      <c r="R204" s="608"/>
      <c r="S204" s="359">
        <v>5</v>
      </c>
    </row>
    <row r="205" spans="15:19" ht="13.5" thickBot="1" x14ac:dyDescent="0.25">
      <c r="O205" s="45">
        <v>190</v>
      </c>
      <c r="P205" s="607"/>
      <c r="Q205" s="642"/>
      <c r="R205" s="608"/>
      <c r="S205" s="359">
        <v>5</v>
      </c>
    </row>
    <row r="206" spans="15:19" ht="13.5" thickBot="1" x14ac:dyDescent="0.25">
      <c r="O206" s="43">
        <v>191</v>
      </c>
      <c r="P206" s="607"/>
      <c r="Q206" s="642"/>
      <c r="R206" s="608"/>
      <c r="S206" s="359">
        <v>5</v>
      </c>
    </row>
    <row r="207" spans="15:19" ht="13.5" thickBot="1" x14ac:dyDescent="0.25">
      <c r="O207" s="45">
        <v>192</v>
      </c>
      <c r="P207" s="607"/>
      <c r="Q207" s="642"/>
      <c r="R207" s="608"/>
      <c r="S207" s="359">
        <v>5</v>
      </c>
    </row>
    <row r="208" spans="15:19" ht="13.5" thickBot="1" x14ac:dyDescent="0.25">
      <c r="O208" s="43">
        <v>193</v>
      </c>
      <c r="P208" s="607"/>
      <c r="Q208" s="642"/>
      <c r="R208" s="608"/>
      <c r="S208" s="359">
        <v>5</v>
      </c>
    </row>
    <row r="209" spans="15:19" ht="13.5" thickBot="1" x14ac:dyDescent="0.25">
      <c r="O209" s="45">
        <v>194</v>
      </c>
      <c r="P209" s="607"/>
      <c r="Q209" s="642"/>
      <c r="R209" s="608"/>
      <c r="S209" s="359">
        <v>5</v>
      </c>
    </row>
    <row r="210" spans="15:19" ht="13.5" thickBot="1" x14ac:dyDescent="0.25">
      <c r="O210" s="43">
        <v>195</v>
      </c>
      <c r="P210" s="607"/>
      <c r="Q210" s="642"/>
      <c r="R210" s="608"/>
      <c r="S210" s="359">
        <v>5</v>
      </c>
    </row>
    <row r="211" spans="15:19" ht="13.5" thickBot="1" x14ac:dyDescent="0.25">
      <c r="O211" s="45">
        <v>196</v>
      </c>
      <c r="P211" s="607"/>
      <c r="Q211" s="642"/>
      <c r="R211" s="608"/>
      <c r="S211" s="359">
        <v>5</v>
      </c>
    </row>
    <row r="212" spans="15:19" ht="13.5" thickBot="1" x14ac:dyDescent="0.25">
      <c r="O212" s="43">
        <v>197</v>
      </c>
      <c r="P212" s="607"/>
      <c r="Q212" s="642"/>
      <c r="R212" s="608"/>
      <c r="S212" s="359">
        <v>5</v>
      </c>
    </row>
    <row r="213" spans="15:19" ht="13.5" thickBot="1" x14ac:dyDescent="0.25">
      <c r="O213" s="45">
        <v>198</v>
      </c>
      <c r="P213" s="607"/>
      <c r="Q213" s="642"/>
      <c r="R213" s="608"/>
      <c r="S213" s="359">
        <v>5</v>
      </c>
    </row>
    <row r="214" spans="15:19" ht="13.5" thickBot="1" x14ac:dyDescent="0.25">
      <c r="O214" s="43">
        <v>199</v>
      </c>
      <c r="P214" s="607"/>
      <c r="Q214" s="642"/>
      <c r="R214" s="608"/>
      <c r="S214" s="359">
        <v>5</v>
      </c>
    </row>
    <row r="215" spans="15:19" ht="13.5" thickBot="1" x14ac:dyDescent="0.25">
      <c r="O215" s="45">
        <v>200</v>
      </c>
      <c r="P215" s="607"/>
      <c r="Q215" s="642"/>
      <c r="R215" s="608"/>
      <c r="S215" s="359">
        <v>5</v>
      </c>
    </row>
    <row r="216" spans="15:19" ht="13.5" thickBot="1" x14ac:dyDescent="0.25">
      <c r="O216" s="43">
        <v>201</v>
      </c>
      <c r="P216" s="607"/>
      <c r="Q216" s="642"/>
      <c r="R216" s="608"/>
      <c r="S216" s="359">
        <v>5</v>
      </c>
    </row>
    <row r="217" spans="15:19" ht="13.5" thickBot="1" x14ac:dyDescent="0.25">
      <c r="O217" s="45">
        <v>202</v>
      </c>
      <c r="P217" s="607"/>
      <c r="Q217" s="642"/>
      <c r="R217" s="608"/>
      <c r="S217" s="359">
        <v>5</v>
      </c>
    </row>
    <row r="218" spans="15:19" ht="13.5" thickBot="1" x14ac:dyDescent="0.25">
      <c r="O218" s="43">
        <v>203</v>
      </c>
      <c r="P218" s="607"/>
      <c r="Q218" s="642"/>
      <c r="R218" s="608"/>
      <c r="S218" s="359">
        <v>5</v>
      </c>
    </row>
    <row r="219" spans="15:19" ht="13.5" thickBot="1" x14ac:dyDescent="0.25">
      <c r="O219" s="45">
        <v>204</v>
      </c>
      <c r="P219" s="607"/>
      <c r="Q219" s="642"/>
      <c r="R219" s="608"/>
      <c r="S219" s="359">
        <v>5</v>
      </c>
    </row>
    <row r="220" spans="15:19" ht="13.5" thickBot="1" x14ac:dyDescent="0.25">
      <c r="O220" s="43">
        <v>205</v>
      </c>
      <c r="P220" s="607"/>
      <c r="Q220" s="642"/>
      <c r="R220" s="608"/>
      <c r="S220" s="359">
        <v>5</v>
      </c>
    </row>
    <row r="221" spans="15:19" ht="13.5" thickBot="1" x14ac:dyDescent="0.25">
      <c r="O221" s="45">
        <v>206</v>
      </c>
      <c r="P221" s="607"/>
      <c r="Q221" s="642"/>
      <c r="R221" s="608"/>
      <c r="S221" s="359">
        <v>5</v>
      </c>
    </row>
    <row r="222" spans="15:19" ht="13.5" thickBot="1" x14ac:dyDescent="0.25">
      <c r="O222" s="43">
        <v>207</v>
      </c>
      <c r="P222" s="607"/>
      <c r="Q222" s="642"/>
      <c r="R222" s="608"/>
      <c r="S222" s="359">
        <v>5</v>
      </c>
    </row>
    <row r="223" spans="15:19" ht="13.5" thickBot="1" x14ac:dyDescent="0.25">
      <c r="O223" s="45">
        <v>208</v>
      </c>
      <c r="P223" s="607"/>
      <c r="Q223" s="642"/>
      <c r="R223" s="608"/>
      <c r="S223" s="359">
        <v>5</v>
      </c>
    </row>
    <row r="224" spans="15:19" ht="13.5" thickBot="1" x14ac:dyDescent="0.25">
      <c r="O224" s="43">
        <v>209</v>
      </c>
      <c r="P224" s="607"/>
      <c r="Q224" s="642"/>
      <c r="R224" s="608"/>
      <c r="S224" s="359">
        <v>5</v>
      </c>
    </row>
    <row r="225" spans="15:19" ht="13.5" thickBot="1" x14ac:dyDescent="0.25">
      <c r="O225" s="45">
        <v>210</v>
      </c>
      <c r="P225" s="607"/>
      <c r="Q225" s="642"/>
      <c r="R225" s="608"/>
      <c r="S225" s="359">
        <v>5</v>
      </c>
    </row>
    <row r="226" spans="15:19" ht="13.5" thickBot="1" x14ac:dyDescent="0.25">
      <c r="O226" s="43">
        <v>211</v>
      </c>
      <c r="P226" s="607"/>
      <c r="Q226" s="642"/>
      <c r="R226" s="608"/>
      <c r="S226" s="359">
        <v>5</v>
      </c>
    </row>
    <row r="227" spans="15:19" ht="13.5" thickBot="1" x14ac:dyDescent="0.25">
      <c r="O227" s="45">
        <v>212</v>
      </c>
      <c r="P227" s="607"/>
      <c r="Q227" s="642"/>
      <c r="R227" s="608"/>
      <c r="S227" s="359">
        <v>5</v>
      </c>
    </row>
    <row r="228" spans="15:19" ht="13.5" thickBot="1" x14ac:dyDescent="0.25">
      <c r="O228" s="43">
        <v>213</v>
      </c>
      <c r="P228" s="607"/>
      <c r="Q228" s="642"/>
      <c r="R228" s="608"/>
      <c r="S228" s="359">
        <v>5</v>
      </c>
    </row>
    <row r="229" spans="15:19" ht="13.5" thickBot="1" x14ac:dyDescent="0.25">
      <c r="O229" s="45">
        <v>214</v>
      </c>
      <c r="P229" s="607"/>
      <c r="Q229" s="642"/>
      <c r="R229" s="608"/>
      <c r="S229" s="359">
        <v>5</v>
      </c>
    </row>
    <row r="230" spans="15:19" ht="13.5" thickBot="1" x14ac:dyDescent="0.25">
      <c r="O230" s="43">
        <v>215</v>
      </c>
      <c r="P230" s="607"/>
      <c r="Q230" s="642"/>
      <c r="R230" s="608"/>
      <c r="S230" s="359">
        <v>5</v>
      </c>
    </row>
    <row r="231" spans="15:19" ht="13.5" thickBot="1" x14ac:dyDescent="0.25">
      <c r="O231" s="45">
        <v>216</v>
      </c>
      <c r="P231" s="607"/>
      <c r="Q231" s="642"/>
      <c r="R231" s="608"/>
      <c r="S231" s="359">
        <v>5</v>
      </c>
    </row>
    <row r="232" spans="15:19" ht="13.5" thickBot="1" x14ac:dyDescent="0.25">
      <c r="O232" s="43">
        <v>217</v>
      </c>
      <c r="P232" s="607"/>
      <c r="Q232" s="642"/>
      <c r="R232" s="608"/>
      <c r="S232" s="359">
        <v>5</v>
      </c>
    </row>
    <row r="233" spans="15:19" ht="13.5" thickBot="1" x14ac:dyDescent="0.25">
      <c r="O233" s="45">
        <v>218</v>
      </c>
      <c r="P233" s="607"/>
      <c r="Q233" s="642"/>
      <c r="R233" s="608"/>
      <c r="S233" s="359">
        <v>5</v>
      </c>
    </row>
    <row r="234" spans="15:19" ht="13.5" thickBot="1" x14ac:dyDescent="0.25">
      <c r="O234" s="43">
        <v>219</v>
      </c>
      <c r="P234" s="607"/>
      <c r="Q234" s="642"/>
      <c r="R234" s="608"/>
      <c r="S234" s="359">
        <v>5</v>
      </c>
    </row>
    <row r="235" spans="15:19" ht="13.5" thickBot="1" x14ac:dyDescent="0.25">
      <c r="O235" s="45">
        <v>220</v>
      </c>
      <c r="P235" s="607"/>
      <c r="Q235" s="642"/>
      <c r="R235" s="608"/>
      <c r="S235" s="359">
        <v>5</v>
      </c>
    </row>
    <row r="236" spans="15:19" ht="13.5" thickBot="1" x14ac:dyDescent="0.25">
      <c r="O236" s="43">
        <v>221</v>
      </c>
      <c r="P236" s="607"/>
      <c r="Q236" s="642"/>
      <c r="R236" s="608"/>
      <c r="S236" s="359">
        <v>5</v>
      </c>
    </row>
    <row r="237" spans="15:19" ht="13.5" thickBot="1" x14ac:dyDescent="0.25">
      <c r="O237" s="45">
        <v>222</v>
      </c>
      <c r="P237" s="607"/>
      <c r="Q237" s="642"/>
      <c r="R237" s="608"/>
      <c r="S237" s="359">
        <v>5</v>
      </c>
    </row>
    <row r="238" spans="15:19" ht="13.5" thickBot="1" x14ac:dyDescent="0.25">
      <c r="O238" s="43">
        <v>223</v>
      </c>
      <c r="P238" s="607"/>
      <c r="Q238" s="642"/>
      <c r="R238" s="608"/>
      <c r="S238" s="359">
        <v>5</v>
      </c>
    </row>
    <row r="239" spans="15:19" ht="13.5" thickBot="1" x14ac:dyDescent="0.25">
      <c r="O239" s="45">
        <v>224</v>
      </c>
      <c r="P239" s="607"/>
      <c r="Q239" s="642"/>
      <c r="R239" s="608"/>
      <c r="S239" s="359">
        <v>5</v>
      </c>
    </row>
    <row r="240" spans="15:19" ht="13.5" thickBot="1" x14ac:dyDescent="0.25">
      <c r="O240" s="43">
        <v>225</v>
      </c>
      <c r="P240" s="607"/>
      <c r="Q240" s="642"/>
      <c r="R240" s="608"/>
      <c r="S240" s="359">
        <v>5</v>
      </c>
    </row>
    <row r="241" spans="15:19" ht="13.5" thickBot="1" x14ac:dyDescent="0.25">
      <c r="O241" s="45">
        <v>226</v>
      </c>
      <c r="P241" s="607"/>
      <c r="Q241" s="642"/>
      <c r="R241" s="608"/>
      <c r="S241" s="359">
        <v>5</v>
      </c>
    </row>
    <row r="242" spans="15:19" ht="13.5" thickBot="1" x14ac:dyDescent="0.25">
      <c r="O242" s="43">
        <v>227</v>
      </c>
      <c r="P242" s="607"/>
      <c r="Q242" s="642"/>
      <c r="R242" s="608"/>
      <c r="S242" s="359">
        <v>5</v>
      </c>
    </row>
    <row r="243" spans="15:19" ht="13.5" thickBot="1" x14ac:dyDescent="0.25">
      <c r="O243" s="45">
        <v>228</v>
      </c>
      <c r="P243" s="607"/>
      <c r="Q243" s="642"/>
      <c r="R243" s="608"/>
      <c r="S243" s="359">
        <v>5</v>
      </c>
    </row>
    <row r="244" spans="15:19" ht="13.5" thickBot="1" x14ac:dyDescent="0.25">
      <c r="O244" s="43">
        <v>229</v>
      </c>
      <c r="P244" s="607"/>
      <c r="Q244" s="642"/>
      <c r="R244" s="608"/>
      <c r="S244" s="359">
        <v>5</v>
      </c>
    </row>
    <row r="245" spans="15:19" ht="13.5" thickBot="1" x14ac:dyDescent="0.25">
      <c r="O245" s="45">
        <v>230</v>
      </c>
      <c r="P245" s="607"/>
      <c r="Q245" s="642"/>
      <c r="R245" s="608"/>
      <c r="S245" s="359">
        <v>5</v>
      </c>
    </row>
    <row r="246" spans="15:19" ht="13.5" thickBot="1" x14ac:dyDescent="0.25">
      <c r="O246" s="43">
        <v>231</v>
      </c>
      <c r="P246" s="607"/>
      <c r="Q246" s="642"/>
      <c r="R246" s="608"/>
      <c r="S246" s="359">
        <v>5</v>
      </c>
    </row>
    <row r="247" spans="15:19" ht="13.5" thickBot="1" x14ac:dyDescent="0.25">
      <c r="O247" s="45">
        <v>232</v>
      </c>
      <c r="P247" s="607"/>
      <c r="Q247" s="642"/>
      <c r="R247" s="608"/>
      <c r="S247" s="359">
        <v>5</v>
      </c>
    </row>
    <row r="248" spans="15:19" ht="13.5" thickBot="1" x14ac:dyDescent="0.25">
      <c r="O248" s="43">
        <v>233</v>
      </c>
      <c r="P248" s="607"/>
      <c r="Q248" s="642"/>
      <c r="R248" s="608"/>
      <c r="S248" s="359">
        <v>5</v>
      </c>
    </row>
    <row r="249" spans="15:19" ht="13.5" thickBot="1" x14ac:dyDescent="0.25">
      <c r="O249" s="45">
        <v>234</v>
      </c>
      <c r="P249" s="607"/>
      <c r="Q249" s="642"/>
      <c r="R249" s="608"/>
      <c r="S249" s="359">
        <v>5</v>
      </c>
    </row>
    <row r="250" spans="15:19" ht="13.5" thickBot="1" x14ac:dyDescent="0.25">
      <c r="O250" s="43">
        <v>235</v>
      </c>
      <c r="P250" s="607"/>
      <c r="Q250" s="642"/>
      <c r="R250" s="608"/>
      <c r="S250" s="359">
        <v>5</v>
      </c>
    </row>
  </sheetData>
  <mergeCells count="48">
    <mergeCell ref="A8:C9"/>
    <mergeCell ref="J8:J9"/>
    <mergeCell ref="K8:K9"/>
    <mergeCell ref="O7:R7"/>
    <mergeCell ref="AD6:AG6"/>
    <mergeCell ref="AD7:AG7"/>
    <mergeCell ref="O6:R6"/>
    <mergeCell ref="T6:W6"/>
    <mergeCell ref="T7:W7"/>
    <mergeCell ref="Y6:AB6"/>
    <mergeCell ref="Y7:AB7"/>
    <mergeCell ref="AN6:AQ6"/>
    <mergeCell ref="AS6:AV6"/>
    <mergeCell ref="AI6:AL6"/>
    <mergeCell ref="AS7:AV7"/>
    <mergeCell ref="AI7:AL7"/>
    <mergeCell ref="AN7:AQ7"/>
    <mergeCell ref="AX6:BA6"/>
    <mergeCell ref="BC6:BF6"/>
    <mergeCell ref="BH6:BK6"/>
    <mergeCell ref="CB6:CE6"/>
    <mergeCell ref="CG7:CJ7"/>
    <mergeCell ref="BM7:BP7"/>
    <mergeCell ref="CG6:CJ6"/>
    <mergeCell ref="BH7:BK7"/>
    <mergeCell ref="AX7:BA7"/>
    <mergeCell ref="BC7:BF7"/>
    <mergeCell ref="CB7:CE7"/>
    <mergeCell ref="BR7:BU7"/>
    <mergeCell ref="BW7:BZ7"/>
    <mergeCell ref="BW6:BZ6"/>
    <mergeCell ref="BR6:BU6"/>
    <mergeCell ref="CG3:CJ3"/>
    <mergeCell ref="BM6:BP6"/>
    <mergeCell ref="BW3:BZ3"/>
    <mergeCell ref="CB3:CE3"/>
    <mergeCell ref="O3:R3"/>
    <mergeCell ref="T3:W3"/>
    <mergeCell ref="Y3:AB3"/>
    <mergeCell ref="BR3:BU3"/>
    <mergeCell ref="AD3:AG3"/>
    <mergeCell ref="AI3:AL3"/>
    <mergeCell ref="AN3:AQ3"/>
    <mergeCell ref="BH3:BK3"/>
    <mergeCell ref="AS3:AV3"/>
    <mergeCell ref="AX3:BA3"/>
    <mergeCell ref="BC3:BF3"/>
    <mergeCell ref="BM3:BP3"/>
  </mergeCells>
  <phoneticPr fontId="2" type="noConversion"/>
  <dataValidations disablePrompts="1" count="1">
    <dataValidation type="list" allowBlank="1" showInputMessage="1" showErrorMessage="1" sqref="Y7 CG7 AS7 T7 AD7 AI7 AN7 AX7 BC7 BH7 BM7 BR7 BW7 CB7">
      <formula1>$D$33:$D$34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"/>
  <sheetViews>
    <sheetView workbookViewId="0">
      <selection activeCell="K42" sqref="K42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Apoio</vt:lpstr>
      <vt:lpstr>fluxos</vt:lpstr>
      <vt:lpstr>Simulador CEF</vt:lpstr>
      <vt:lpstr>Premissas e Calculos</vt:lpstr>
      <vt:lpstr>OBS</vt:lpstr>
      <vt:lpstr>Proposta 1 Via</vt:lpstr>
      <vt:lpstr>Meses</vt:lpstr>
      <vt:lpstr>DADOS DOS EMPREENDIMENTOS</vt:lpstr>
      <vt:lpstr>Plan1</vt:lpstr>
      <vt:lpstr>Plan2</vt:lpstr>
      <vt:lpstr>Plan3</vt:lpstr>
      <vt:lpstr>Plan4</vt:lpstr>
      <vt:lpstr>Plan6</vt:lpstr>
      <vt:lpstr>Plan5</vt:lpstr>
      <vt:lpstr>Apoio!Area_de_impressao</vt:lpstr>
      <vt:lpstr>'DADOS DOS EMPREENDIMENTOS'!Area_de_impressao</vt:lpstr>
      <vt:lpstr>'Premissas e Calculos'!Area_de_impressao</vt:lpstr>
      <vt:lpstr>'Proposta 1 Via'!Area_de_impressao</vt:lpstr>
      <vt:lpstr>'Simulador CEF'!Area_de_impressao</vt:lpstr>
      <vt:lpstr>INCC</vt:lpstr>
      <vt:lpstr>Mês</vt:lpstr>
      <vt:lpstr>OBRA_VGV</vt:lpstr>
      <vt:lpstr>SM</vt:lpstr>
      <vt:lpstr>SUB</vt:lpstr>
      <vt:lpstr>SUBMin</vt:lpstr>
      <vt:lpstr>'DADOS DOS EMPREENDIMENTOS'!Terreno_VGV</vt:lpstr>
      <vt:lpstr>VMI</vt:lpstr>
      <vt:lpstr>'DADOS DOS EMPREENDIMENTOS'!VP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</dc:creator>
  <cp:lastModifiedBy>Robson França</cp:lastModifiedBy>
  <cp:lastPrinted>2017-03-22T13:59:58Z</cp:lastPrinted>
  <dcterms:created xsi:type="dcterms:W3CDTF">2009-05-16T11:44:52Z</dcterms:created>
  <dcterms:modified xsi:type="dcterms:W3CDTF">2019-12-03T18:04:49Z</dcterms:modified>
</cp:coreProperties>
</file>